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xr:revisionPtr revIDLastSave="0" documentId="13_ncr:1_{4F79F82A-DFD9-CD41-BBA9-E0A3F30048E6}" xr6:coauthVersionLast="47" xr6:coauthVersionMax="47" xr10:uidLastSave="{00000000-0000-0000-0000-000000000000}"/>
  <bookViews>
    <workbookView xWindow="0" yWindow="760" windowWidth="34200" windowHeight="21480" xr2:uid="{00000000-000D-0000-FFFF-FFFF00000000}"/>
  </bookViews>
  <sheets>
    <sheet name="Nhật ký ca" sheetId="1" r:id="rId1"/>
    <sheet name="Tổng hợp theo người" sheetId="2" r:id="rId2"/>
    <sheet name="Hướng dẫn"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 i="2" l="1"/>
  <c r="H10" i="2"/>
  <c r="G10" i="2"/>
  <c r="I10" i="2" s="1"/>
  <c r="E10" i="2"/>
  <c r="D10" i="2"/>
  <c r="F10" i="2" s="1"/>
  <c r="C10" i="2"/>
  <c r="B10" i="2"/>
  <c r="K9" i="2"/>
  <c r="H9" i="2"/>
  <c r="G9" i="2"/>
  <c r="I9" i="2" s="1"/>
  <c r="E9" i="2"/>
  <c r="D9" i="2"/>
  <c r="F9" i="2" s="1"/>
  <c r="C9" i="2"/>
  <c r="B9" i="2"/>
  <c r="K8" i="2"/>
  <c r="H8" i="2"/>
  <c r="G8" i="2"/>
  <c r="I8" i="2" s="1"/>
  <c r="E8" i="2"/>
  <c r="D8" i="2"/>
  <c r="F8" i="2" s="1"/>
  <c r="C8" i="2"/>
  <c r="B8" i="2"/>
  <c r="K7" i="2"/>
  <c r="H7" i="2"/>
  <c r="G7" i="2"/>
  <c r="I7" i="2" s="1"/>
  <c r="E7" i="2"/>
  <c r="C7" i="2"/>
  <c r="B7" i="2"/>
  <c r="K6" i="2"/>
  <c r="H6" i="2"/>
  <c r="E6" i="2"/>
  <c r="C6" i="2"/>
  <c r="B6" i="2"/>
  <c r="K5" i="2"/>
  <c r="H5" i="2"/>
  <c r="G5" i="2"/>
  <c r="I5" i="2" s="1"/>
  <c r="E5" i="2"/>
  <c r="C5" i="2"/>
  <c r="B5" i="2"/>
  <c r="V29" i="1"/>
  <c r="U29" i="1"/>
  <c r="Q29" i="1"/>
  <c r="P29" i="1"/>
  <c r="R29" i="1" s="1"/>
  <c r="O29" i="1"/>
  <c r="N29" i="1"/>
  <c r="S29" i="1" s="1"/>
  <c r="V28" i="1"/>
  <c r="U28" i="1"/>
  <c r="S28" i="1"/>
  <c r="Q28" i="1"/>
  <c r="P28" i="1"/>
  <c r="R28" i="1" s="1"/>
  <c r="O28" i="1"/>
  <c r="N28" i="1"/>
  <c r="V27" i="1"/>
  <c r="U27" i="1"/>
  <c r="S27" i="1"/>
  <c r="Q27" i="1"/>
  <c r="P27" i="1"/>
  <c r="R27" i="1" s="1"/>
  <c r="T27" i="1" s="1"/>
  <c r="O27" i="1"/>
  <c r="N27" i="1"/>
  <c r="V26" i="1"/>
  <c r="U26" i="1"/>
  <c r="S26" i="1"/>
  <c r="Q26" i="1"/>
  <c r="P26" i="1"/>
  <c r="R26" i="1" s="1"/>
  <c r="O26" i="1"/>
  <c r="N26" i="1"/>
  <c r="V25" i="1"/>
  <c r="U25" i="1"/>
  <c r="Q25" i="1"/>
  <c r="P25" i="1"/>
  <c r="R25" i="1" s="1"/>
  <c r="O25" i="1"/>
  <c r="N25" i="1"/>
  <c r="S25" i="1" s="1"/>
  <c r="V24" i="1"/>
  <c r="U24" i="1"/>
  <c r="S24" i="1"/>
  <c r="Q24" i="1"/>
  <c r="P24" i="1"/>
  <c r="R24" i="1" s="1"/>
  <c r="T24" i="1" s="1"/>
  <c r="W24" i="1" s="1"/>
  <c r="O24" i="1"/>
  <c r="N24" i="1"/>
  <c r="V23" i="1"/>
  <c r="U23" i="1"/>
  <c r="S23" i="1"/>
  <c r="R23" i="1"/>
  <c r="Q23" i="1"/>
  <c r="P23" i="1"/>
  <c r="O23" i="1"/>
  <c r="N23" i="1"/>
  <c r="V22" i="1"/>
  <c r="U22" i="1"/>
  <c r="Q22" i="1"/>
  <c r="P22" i="1"/>
  <c r="R22" i="1" s="1"/>
  <c r="O22" i="1"/>
  <c r="N22" i="1"/>
  <c r="S22" i="1" s="1"/>
  <c r="V21" i="1"/>
  <c r="U21" i="1"/>
  <c r="R21" i="1"/>
  <c r="Q21" i="1"/>
  <c r="P21" i="1"/>
  <c r="O21" i="1"/>
  <c r="N21" i="1"/>
  <c r="S21" i="1" s="1"/>
  <c r="V20" i="1"/>
  <c r="P20" i="1"/>
  <c r="R20" i="1" s="1"/>
  <c r="N20" i="1"/>
  <c r="O20" i="1" s="1"/>
  <c r="S20" i="1" s="1"/>
  <c r="V19" i="1"/>
  <c r="R19" i="1"/>
  <c r="P19" i="1"/>
  <c r="Q19" i="1" s="1"/>
  <c r="N19" i="1"/>
  <c r="O19" i="1" s="1"/>
  <c r="S19" i="1" s="1"/>
  <c r="V18" i="1"/>
  <c r="P18" i="1"/>
  <c r="R18" i="1" s="1"/>
  <c r="N18" i="1"/>
  <c r="O18" i="1" s="1"/>
  <c r="S18" i="1" s="1"/>
  <c r="V17" i="1"/>
  <c r="R17" i="1"/>
  <c r="P17" i="1"/>
  <c r="Q17" i="1" s="1"/>
  <c r="N17" i="1"/>
  <c r="O17" i="1" s="1"/>
  <c r="S17" i="1" s="1"/>
  <c r="V16" i="1"/>
  <c r="P16" i="1"/>
  <c r="R16" i="1" s="1"/>
  <c r="N16" i="1"/>
  <c r="O16" i="1" s="1"/>
  <c r="S16" i="1" s="1"/>
  <c r="V15" i="1"/>
  <c r="P15" i="1"/>
  <c r="Q15" i="1" s="1"/>
  <c r="N15" i="1"/>
  <c r="O15" i="1" s="1"/>
  <c r="S15" i="1" s="1"/>
  <c r="V14" i="1"/>
  <c r="P14" i="1"/>
  <c r="R14" i="1" s="1"/>
  <c r="N14" i="1"/>
  <c r="O14" i="1" s="1"/>
  <c r="S14" i="1" s="1"/>
  <c r="V13" i="1"/>
  <c r="R13" i="1"/>
  <c r="P13" i="1"/>
  <c r="Q13" i="1" s="1"/>
  <c r="N13" i="1"/>
  <c r="O13" i="1" s="1"/>
  <c r="S13" i="1" s="1"/>
  <c r="V12" i="1"/>
  <c r="P12" i="1"/>
  <c r="R12" i="1" s="1"/>
  <c r="N12" i="1"/>
  <c r="O12" i="1" s="1"/>
  <c r="S12" i="1" s="1"/>
  <c r="V11" i="1"/>
  <c r="P11" i="1"/>
  <c r="Q11" i="1" s="1"/>
  <c r="N11" i="1"/>
  <c r="O11" i="1" s="1"/>
  <c r="S11" i="1" s="1"/>
  <c r="V10" i="1"/>
  <c r="P10" i="1"/>
  <c r="R10" i="1" s="1"/>
  <c r="N10" i="1"/>
  <c r="O10" i="1" s="1"/>
  <c r="S10" i="1" s="1"/>
  <c r="V9" i="1"/>
  <c r="R9" i="1"/>
  <c r="P9" i="1"/>
  <c r="Q9" i="1" s="1"/>
  <c r="N9" i="1"/>
  <c r="O9" i="1" s="1"/>
  <c r="S9" i="1" s="1"/>
  <c r="V8" i="1"/>
  <c r="P8" i="1"/>
  <c r="N8" i="1"/>
  <c r="O8" i="1" s="1"/>
  <c r="S8" i="1" s="1"/>
  <c r="V7" i="1"/>
  <c r="P7" i="1"/>
  <c r="N7" i="1"/>
  <c r="O7" i="1" s="1"/>
  <c r="S7" i="1" s="1"/>
  <c r="V6" i="1"/>
  <c r="P6" i="1"/>
  <c r="N6" i="1"/>
  <c r="O6" i="1" s="1"/>
  <c r="S6" i="1" s="1"/>
  <c r="R11" i="1" l="1"/>
  <c r="T22" i="1"/>
  <c r="W22" i="1" s="1"/>
  <c r="W27" i="1"/>
  <c r="D5" i="2"/>
  <c r="F5" i="2" s="1"/>
  <c r="J5" i="2" s="1"/>
  <c r="O5" i="2" s="1"/>
  <c r="T23" i="1"/>
  <c r="W23" i="1" s="1"/>
  <c r="T26" i="1"/>
  <c r="W26" i="1" s="1"/>
  <c r="R15" i="1"/>
  <c r="U15" i="1" s="1"/>
  <c r="T29" i="1"/>
  <c r="W29" i="1" s="1"/>
  <c r="D6" i="2"/>
  <c r="F6" i="2" s="1"/>
  <c r="T25" i="1"/>
  <c r="W25" i="1" s="1"/>
  <c r="R7" i="1"/>
  <c r="T28" i="1"/>
  <c r="W28" i="1" s="1"/>
  <c r="T21" i="1"/>
  <c r="W21" i="1" s="1"/>
  <c r="G6" i="2"/>
  <c r="I6" i="2" s="1"/>
  <c r="J8" i="2"/>
  <c r="J9" i="2"/>
  <c r="O9" i="2" s="1"/>
  <c r="U14" i="1"/>
  <c r="T14" i="1"/>
  <c r="W14" i="1" s="1"/>
  <c r="U20" i="1"/>
  <c r="T20" i="1"/>
  <c r="W20" i="1" s="1"/>
  <c r="U10" i="1"/>
  <c r="T10" i="1"/>
  <c r="W10" i="1" s="1"/>
  <c r="U12" i="1"/>
  <c r="T12" i="1"/>
  <c r="W12" i="1" s="1"/>
  <c r="U18" i="1"/>
  <c r="T18" i="1"/>
  <c r="W18" i="1" s="1"/>
  <c r="U16" i="1"/>
  <c r="T16" i="1"/>
  <c r="W16" i="1" s="1"/>
  <c r="Q7" i="1"/>
  <c r="U13" i="1"/>
  <c r="T13" i="1"/>
  <c r="W13" i="1" s="1"/>
  <c r="U7" i="1"/>
  <c r="T7" i="1"/>
  <c r="W7" i="1" s="1"/>
  <c r="U17" i="1"/>
  <c r="T17" i="1"/>
  <c r="W17" i="1" s="1"/>
  <c r="J10" i="2"/>
  <c r="U11" i="1"/>
  <c r="T11" i="1"/>
  <c r="W11" i="1" s="1"/>
  <c r="U19" i="1"/>
  <c r="T19" i="1"/>
  <c r="W19" i="1" s="1"/>
  <c r="U9" i="1"/>
  <c r="T9" i="1"/>
  <c r="W9" i="1" s="1"/>
  <c r="D7" i="2"/>
  <c r="F7" i="2" s="1"/>
  <c r="J7" i="2" s="1"/>
  <c r="Q6" i="1"/>
  <c r="Q8" i="1"/>
  <c r="Q10" i="1"/>
  <c r="Q12" i="1"/>
  <c r="Q14" i="1"/>
  <c r="Q16" i="1"/>
  <c r="Q18" i="1"/>
  <c r="Q20" i="1"/>
  <c r="L8" i="2"/>
  <c r="O8" i="2"/>
  <c r="R6" i="1"/>
  <c r="R8" i="1"/>
  <c r="T15" i="1" l="1"/>
  <c r="W15" i="1" s="1"/>
  <c r="J6" i="2"/>
  <c r="L5" i="2"/>
  <c r="M5" i="2" s="1"/>
  <c r="L9" i="2"/>
  <c r="N9" i="2"/>
  <c r="M9" i="2"/>
  <c r="U8" i="1"/>
  <c r="T8" i="1"/>
  <c r="W8" i="1" s="1"/>
  <c r="U6" i="1"/>
  <c r="T6" i="1"/>
  <c r="W6" i="1" s="1"/>
  <c r="M8" i="2"/>
  <c r="N8" i="2"/>
  <c r="O10" i="2"/>
  <c r="L10" i="2"/>
  <c r="O7" i="2"/>
  <c r="L7" i="2"/>
  <c r="N5" i="2" l="1"/>
  <c r="L6" i="2"/>
  <c r="O6" i="2"/>
  <c r="N7" i="2"/>
  <c r="M7" i="2"/>
  <c r="N10" i="2"/>
  <c r="M10" i="2"/>
  <c r="M6" i="2" l="1"/>
  <c r="N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SAMITECH</author>
  </authors>
  <commentList>
    <comment ref="F5" authorId="0" shapeId="0" xr:uid="{00000000-0006-0000-0000-000001000000}">
      <text>
        <r>
          <rPr>
            <sz val="11"/>
            <color theme="1"/>
            <rFont val="Calibri"/>
            <family val="2"/>
            <scheme val="minor"/>
          </rPr>
          <t>Thời gian chuẩn cho MỘT chu kỳ máy (một nhát dập, một lần gia công), theo TỪNG mã hàng. Không có cột này thì người chạy mã khó luôn thua người chạy mã dễ.</t>
        </r>
      </text>
    </comment>
    <comment ref="H5" authorId="0" shapeId="0" xr:uid="{00000000-0006-0000-0000-000002000000}">
      <text>
        <r>
          <rPr>
            <sz val="11"/>
            <color theme="1"/>
            <rFont val="Calibri"/>
            <family val="2"/>
            <scheme val="minor"/>
          </rPr>
          <t>Chờ vật tư, hỏng máy, đổi khuôn theo kế hoạch, thiếu dao, họp… — những thứ người đứng máy không quyết định được. Nhà máy tự lập bảng: mã dừng nào thuộc cột này, mã nào thuộc cột "do người".</t>
        </r>
      </text>
    </comment>
    <comment ref="K5" authorId="0" shapeId="0" xr:uid="{00000000-0006-0000-0000-000003000000}">
      <text>
        <r>
          <rPr>
            <sz val="11"/>
            <color theme="1"/>
            <rFont val="Calibri"/>
            <family val="2"/>
            <scheme val="minor"/>
          </rPr>
          <t>Bộ đếm của máy đếm CHU KỲ, không đếm thành phẩm: nó đếm cả hàng hư. Vì thế phải có cột hàng hư.</t>
        </r>
      </text>
    </comment>
    <comment ref="L5" authorId="0" shapeId="0" xr:uid="{00000000-0006-0000-0000-000004000000}">
      <text>
        <r>
          <rPr>
            <sz val="11"/>
            <color theme="1"/>
            <rFont val="Calibri"/>
            <family val="2"/>
            <scheme val="minor"/>
          </rPr>
          <t>Khuôn nhiều lòng thì một chu kỳ ra nhiều sản phẩm. Máy chỉ ra 1 sp mỗi chu kỳ thì để 1.</t>
        </r>
      </text>
    </comment>
    <comment ref="R5" authorId="0" shapeId="0" xr:uid="{00000000-0006-0000-0000-000005000000}">
      <text>
        <r>
          <rPr>
            <sz val="11"/>
            <color theme="1"/>
            <rFont val="Calibri"/>
            <family val="2"/>
            <scheme val="minor"/>
          </rPr>
          <t>P = CT chuẩn × số chu kỳ ÷ thời gian chạy. Trên 100% gần như luôn là CT chuẩn đặt sai (hoặc số sp mỗi chu kỳ sai), không phải người làm nhanh bất thường.</t>
        </r>
      </text>
    </comment>
  </commentList>
</comments>
</file>

<file path=xl/sharedStrings.xml><?xml version="1.0" encoding="utf-8"?>
<sst xmlns="http://schemas.openxmlformats.org/spreadsheetml/2006/main" count="147" uniqueCount="81">
  <si>
    <t>NHẬT KÝ CA — DỮ LIỆU ĐỂ TÍNH KPI NGƯỜI ĐỨNG MÁY (P% × Q%)</t>
  </si>
  <si>
    <t>Mỗi dòng = một người × một ca × một máy × một mã hàng. Ô nền vàng là ô cần điền; ô khác là công thức — đừng gõ đè. Dữ liệu đang có là DỮ LIỆU MẪU: xoá vùng A6:M29 rồi ghi số của mình.</t>
  </si>
  <si>
    <t>Máy thu thập được thì lấy số từ máy (bộ đếm, thời gian dừng, lý do dừng); chưa có thì lấy từ sổ giao ca. Cột xám là GÓC NHÌN 2 — chỉ để tham khảo, không nằm trong KPI chính.</t>
  </si>
  <si>
    <t>Ngày</t>
  </si>
  <si>
    <t>Ca</t>
  </si>
  <si>
    <t>Mã NV</t>
  </si>
  <si>
    <t>Máy</t>
  </si>
  <si>
    <t>Mã hàng</t>
  </si>
  <si>
    <t>CT chuẩn (giây/chu kỳ)</t>
  </si>
  <si>
    <t>Thời gian đứng máy (phút)</t>
  </si>
  <si>
    <t>Dừng KHÔNG do người (phút)</t>
  </si>
  <si>
    <t>Dừng do người (phút)</t>
  </si>
  <si>
    <t>Dừng chưa rõ lý do (phút)</t>
  </si>
  <si>
    <t>Số chu kỳ máy đếm</t>
  </si>
  <si>
    <t>Số sp mỗi chu kỳ</t>
  </si>
  <si>
    <t>Hàng hư (sp)</t>
  </si>
  <si>
    <t>Sản lượng (sp)</t>
  </si>
  <si>
    <t>Hàng đạt (sp)</t>
  </si>
  <si>
    <t>Thời gian chạy (phút)</t>
  </si>
  <si>
    <t>A% (của máy)</t>
  </si>
  <si>
    <t>P% hiệu suất</t>
  </si>
  <si>
    <t>Q% hàng đạt</t>
  </si>
  <si>
    <t>KPI người = P × Q</t>
  </si>
  <si>
    <t>Cần xem</t>
  </si>
  <si>
    <t>A% phần của người (góc nhìn 2)</t>
  </si>
  <si>
    <t>KPI mở rộng (góc nhìn 2)</t>
  </si>
  <si>
    <t>01/10</t>
  </si>
  <si>
    <t>Ca 1</t>
  </si>
  <si>
    <t>NV-01</t>
  </si>
  <si>
    <t>CNC-01</t>
  </si>
  <si>
    <t>MH-A</t>
  </si>
  <si>
    <t>NV-02</t>
  </si>
  <si>
    <t>CNC-02</t>
  </si>
  <si>
    <t>MH-B</t>
  </si>
  <si>
    <t>Ca 2</t>
  </si>
  <si>
    <t>NV-03</t>
  </si>
  <si>
    <t>MH-C</t>
  </si>
  <si>
    <t>02/10</t>
  </si>
  <si>
    <t>DAP-01</t>
  </si>
  <si>
    <t>MH-D</t>
  </si>
  <si>
    <t>03/10</t>
  </si>
  <si>
    <t>04/10</t>
  </si>
  <si>
    <t>05/10</t>
  </si>
  <si>
    <t>TỔNG HỢP KPI THEO NGƯỜI — CỘNG THỜI GIAN VÀ SẢN LƯỢNG RỒI MỚI CHIA</t>
  </si>
  <si>
    <t>Đừng lấy trung bình các P% của từng ca: một ca máy hỏng gần hết (ít phút chạy) sẽ nặng ngang một ca chạy trọn. Ở đây P = tổng phút chuẩn ÷ tổng phút chạy, Q = tổng hàng đạt ÷ tổng sản lượng.</t>
  </si>
  <si>
    <t>Số ca</t>
  </si>
  <si>
    <t>Tổng phút đứng máy</t>
  </si>
  <si>
    <t>Tổng phút chạy</t>
  </si>
  <si>
    <t>Tổng phút chuẩn đã làm</t>
  </si>
  <si>
    <t>Tổng sản lượng (sp)</t>
  </si>
  <si>
    <t>Tổng hàng hư (sp)</t>
  </si>
  <si>
    <t>Phút dừng có lý do (%)</t>
  </si>
  <si>
    <t>Đủ điều kiện xét thưởng?</t>
  </si>
  <si>
    <t>Bậc (ví dụ)</t>
  </si>
  <si>
    <t>Hệ số thưởng (ví dụ)</t>
  </si>
  <si>
    <t>ĐIỀU KIỆN XÉT THƯỞNG — ví dụ, nhà máy tự đặt</t>
  </si>
  <si>
    <t>Tổng phút đứng máy tối thiểu trong kỳ</t>
  </si>
  <si>
    <t>Phút dừng có lý do tối thiểu</t>
  </si>
  <si>
    <t>Và KHÔNG ca nào có P% vượt 100% — vượt là CT chuẩn còn sai; sửa CT chuẩn trước khi gắn tiền.</t>
  </si>
  <si>
    <t>Bậc</t>
  </si>
  <si>
    <t>KPI từ</t>
  </si>
  <si>
    <t>Hệ số × mức thưởng cơ sở</t>
  </si>
  <si>
    <t>Bậc 1</t>
  </si>
  <si>
    <t>Bậc 2</t>
  </si>
  <si>
    <t>Bậc 3</t>
  </si>
  <si>
    <t>Đây là VÍ DỤ cách nối KPI với thưởng, không phải công thức chuẩn. Nên chạy thử vài tháng, công khai số cho công nhân, cho phép khiếu nại việc gán lý do dừng — rồi mới gắn tiền.</t>
  </si>
  <si>
    <t>CÁCH DÙNG MẪU NÀY</t>
  </si>
  <si>
    <t>1. Trang "Nhật ký ca": mỗi dòng là một người × một ca × một máy × một mã hàng. Điền ô nền vàng; các cột còn lại tự tính.</t>
  </si>
  <si>
    <t>2. CT chuẩn phải theo TỪNG mã hàng. Không có nó thì sản lượng thô sẽ luôn thưởng cho người chạy mã dễ.</t>
  </si>
  <si>
    <t>3. Tách thời gian dừng làm ba cột: không do người (chờ vật tư, hỏng máy, đổi khuôn theo kế hoạch…) · do người · chưa rõ lý do. Nhà máy tự lập bảng mã dừng nào thuộc cột nào, và công bố trước.</t>
  </si>
  <si>
    <t>4. Số chu kỳ máy đếm gồm cả hàng hư — cột hàng hư là bắt buộc. Khuôn nhiều lòng thì điền "số sp mỗi chu kỳ".</t>
  </si>
  <si>
    <t>5. KPI người = P% × Q%. A% (tỷ lệ thời gian máy chạy) thuộc về máy và tổ chức, nên chỉ hiện để tham khảo, không vào KPI.</t>
  </si>
  <si>
    <t>6. Trang "Tổng hợp theo người" cộng phút và sản phẩm rồi mới chia — không lấy trung bình các phần trăm.</t>
  </si>
  <si>
    <t>CỘT "CẦN XEM"</t>
  </si>
  <si>
    <t>P &gt; 100%: gần như luôn là CT chuẩn hoặc số sp mỗi chu kỳ đặt sai. Sửa dữ liệu chuẩn, đừng thưởng cho con số đó.</t>
  </si>
  <si>
    <t>Nhiều phút dừng chưa rõ lý do: không biết lý do thì không biết ai chịu trách nhiệm — KPI của người đó chưa đáng tin.</t>
  </si>
  <si>
    <t>GÓC NHÌN 2 (cột nền xám)</t>
  </si>
  <si>
    <t>Một số nhà máy muốn tính cả thời gian dừng DO NGƯỜI (ví dụ chuẩn bị chậm, bỏ máy). Cột "A% phần của người" = thời gian chạy ÷ (thời gian đứng máy − dừng không do người). Chỉ nên dùng khi việc gán lý do dừng đã được cả hai bên tin.</t>
  </si>
  <si>
    <t>Số liệu điền sẵn là DỮ LIỆU MẪU, không phải số của nhà máy nào. Hai dòng đầu trùng ví dụ anh A và chị B trong bài viết.</t>
  </si>
  <si>
    <t>Bài giải thích đầy đủ: https://samitech.vn/bai-viet/kpi-cho-cong-nhan-san-xuat/</t>
  </si>
  <si>
    <t>Mẫu miễn phí của SAMITECH — được dùng, sửa và chia sẻ tự 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</si>
</sst>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1"/>
      <color theme="1"/>
      <name val="Calibri"/>
      <family val="2"/>
      <scheme val="minor"/>
    </font>
    <font>
      <b/>
      <sz val="14"/>
      <color rgb="FF1F4E78"/>
      <name val="Arial"/>
    </font>
    <font>
      <i/>
      <sz val="10"/>
      <color rgb="FF7F6000"/>
      <name val="Arial"/>
    </font>
    <font>
      <i/>
      <sz val="10"/>
      <color rgb="FF595959"/>
      <name val="Arial"/>
    </font>
    <font>
      <b/>
      <sz val="10"/>
      <color rgb="FFFFFFFF"/>
      <name val="Arial"/>
    </font>
    <font>
      <sz val="10"/>
      <color rgb="FF0000FF"/>
      <name val="Arial"/>
    </font>
    <font>
      <sz val="10"/>
      <name val="Arial"/>
    </font>
    <font>
      <b/>
      <sz val="10"/>
      <name val="Arial"/>
    </font>
    <font>
      <b/>
      <sz val="10"/>
      <color rgb="FF0000FF"/>
      <name val="Arial"/>
    </font>
    <font>
      <b/>
      <sz val="12"/>
      <color rgb="FF1F4E78"/>
      <name val="Arial"/>
    </font>
    <font>
      <i/>
      <sz val="10"/>
      <color rgb="FFC00000"/>
      <name val="Arial"/>
    </font>
    <font>
      <b/>
      <sz val="12"/>
      <name val="Arial"/>
    </font>
  </fonts>
  <fills count="7">
    <fill>
      <patternFill patternType="none"/>
    </fill>
    <fill>
      <patternFill patternType="gray125"/>
    </fill>
    <fill>
      <patternFill patternType="solid">
        <fgColor rgb="FF1F4E78"/>
      </patternFill>
    </fill>
    <fill>
      <patternFill patternType="solid">
        <fgColor rgb="FF7F7F7F"/>
      </patternFill>
    </fill>
    <fill>
      <patternFill patternType="solid">
        <fgColor rgb="FFFFF2CC"/>
      </patternFill>
    </fill>
    <fill>
      <patternFill patternType="solid">
        <fgColor rgb="FFE2EFDA"/>
      </patternFill>
    </fill>
    <fill>
      <patternFill patternType="solid">
        <fgColor rgb="FFEDEDED"/>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29">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4" borderId="1" xfId="0" applyFont="1" applyFill="1" applyBorder="1" applyAlignment="1">
      <alignment horizontal="center"/>
    </xf>
    <xf numFmtId="0" fontId="6" fillId="0" borderId="1" xfId="0" applyFont="1" applyBorder="1" applyAlignment="1">
      <alignment horizontal="center"/>
    </xf>
    <xf numFmtId="164" fontId="6" fillId="0" borderId="1" xfId="0" applyNumberFormat="1" applyFont="1" applyBorder="1" applyAlignment="1">
      <alignment horizontal="center"/>
    </xf>
    <xf numFmtId="164" fontId="7" fillId="5" borderId="1" xfId="0" applyNumberFormat="1" applyFont="1" applyFill="1" applyBorder="1" applyAlignment="1">
      <alignment horizontal="center"/>
    </xf>
    <xf numFmtId="0" fontId="6" fillId="0" borderId="1" xfId="0" applyFont="1" applyBorder="1" applyAlignment="1">
      <alignment horizontal="left"/>
    </xf>
    <xf numFmtId="164" fontId="6" fillId="6" borderId="1" xfId="0" applyNumberFormat="1" applyFont="1" applyFill="1" applyBorder="1" applyAlignment="1">
      <alignment horizontal="center"/>
    </xf>
    <xf numFmtId="0" fontId="0" fillId="4" borderId="1" xfId="0" applyFill="1" applyBorder="1" applyAlignment="1">
      <alignment horizontal="center"/>
    </xf>
    <xf numFmtId="0" fontId="8" fillId="4" borderId="1" xfId="0" applyFont="1" applyFill="1" applyBorder="1" applyAlignment="1">
      <alignment horizontal="center"/>
    </xf>
    <xf numFmtId="3" fontId="6" fillId="0" borderId="1" xfId="0" applyNumberFormat="1" applyFont="1" applyBorder="1" applyAlignment="1">
      <alignment horizontal="center"/>
    </xf>
    <xf numFmtId="165" fontId="6" fillId="0" borderId="1" xfId="0" applyNumberFormat="1" applyFont="1" applyBorder="1" applyAlignment="1">
      <alignment horizontal="center"/>
    </xf>
    <xf numFmtId="9" fontId="6" fillId="0" borderId="1" xfId="0" applyNumberFormat="1" applyFont="1" applyBorder="1" applyAlignment="1">
      <alignment horizontal="center"/>
    </xf>
    <xf numFmtId="166" fontId="6" fillId="0" borderId="1" xfId="0" applyNumberFormat="1" applyFont="1" applyBorder="1" applyAlignment="1">
      <alignment horizontal="center"/>
    </xf>
    <xf numFmtId="0" fontId="9" fillId="0" borderId="0" xfId="0" applyFont="1"/>
    <xf numFmtId="0" fontId="7" fillId="0" borderId="0" xfId="0" applyFont="1"/>
    <xf numFmtId="3" fontId="5" fillId="4" borderId="1" xfId="0" applyNumberFormat="1" applyFont="1" applyFill="1" applyBorder="1"/>
    <xf numFmtId="9" fontId="5" fillId="4" borderId="1" xfId="0" applyNumberFormat="1" applyFont="1" applyFill="1" applyBorder="1"/>
    <xf numFmtId="0" fontId="6" fillId="0" borderId="0" xfId="0" applyFont="1"/>
    <xf numFmtId="166" fontId="5" fillId="4" borderId="1" xfId="0" applyNumberFormat="1" applyFont="1" applyFill="1" applyBorder="1"/>
    <xf numFmtId="0" fontId="10" fillId="0" borderId="0" xfId="0" applyFont="1"/>
    <xf numFmtId="0" fontId="11" fillId="0" borderId="0" xfId="0" applyFont="1" applyAlignment="1">
      <alignment vertical="top" wrapText="1"/>
    </xf>
    <xf numFmtId="0" fontId="6" fillId="0" borderId="0" xfId="0" applyFont="1" applyAlignment="1">
      <alignment vertical="top" wrapText="1"/>
    </xf>
    <xf numFmtId="0" fontId="7" fillId="0" borderId="0" xfId="0" applyFont="1"/>
    <xf numFmtId="0" fontId="0" fillId="0" borderId="0" xfId="0"/>
  </cellXfs>
  <cellStyles count="1">
    <cellStyle name="Normal" xfId="0" builtinId="0"/>
  </cellStyles>
  <dxfs count="1">
    <dxf>
      <font>
        <b/>
        <color rgb="FF9C5700"/>
        <name val="Arial"/>
      </font>
      <fill>
        <patternFill patternType="solid">
          <fgColor rgb="FFFFEB9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P%, Q% và KPI theo người</a:t>
            </a:r>
          </a:p>
        </c:rich>
      </c:tx>
      <c:overlay val="0"/>
    </c:title>
    <c:autoTitleDeleted val="0"/>
    <c:plotArea>
      <c:layout/>
      <c:barChart>
        <c:barDir val="col"/>
        <c:grouping val="clustered"/>
        <c:varyColors val="1"/>
        <c:ser>
          <c:idx val="0"/>
          <c:order val="0"/>
          <c:tx>
            <c:strRef>
              <c:f>'Tổng hợp theo người'!$F$4</c:f>
              <c:strCache>
                <c:ptCount val="1"/>
                <c:pt idx="0">
                  <c:v>P% hiệu suất</c:v>
                </c:pt>
              </c:strCache>
            </c:strRef>
          </c:tx>
          <c:spPr>
            <a:solidFill>
              <a:srgbClr val="2E75B6"/>
            </a:solidFill>
            <a:ln>
              <a:solidFill>
                <a:srgbClr val="2E75B6"/>
              </a:solidFill>
              <a:prstDash val="solid"/>
            </a:ln>
          </c:spPr>
          <c:invertIfNegative val="1"/>
          <c:dLbls>
            <c:spPr>
              <a:noFill/>
              <a:ln>
                <a:noFill/>
              </a:ln>
              <a:effectLst/>
            </c:sp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'Tổng hợp theo người'!$A$5:$A$7</c:f>
              <c:strCache>
                <c:ptCount val="3"/>
                <c:pt idx="0">
                  <c:v>NV-01</c:v>
                </c:pt>
                <c:pt idx="1">
                  <c:v>NV-02</c:v>
                </c:pt>
                <c:pt idx="2">
                  <c:v>NV-03</c:v>
                </c:pt>
              </c:strCache>
            </c:strRef>
          </c:cat>
          <c:val>
            <c:numRef>
              <c:f>'Tổng hợp theo người'!$F$5:$F$7</c:f>
              <c:numCache>
                <c:formatCode>0.0%</c:formatCode>
                <c:ptCount val="3"/>
                <c:pt idx="0">
                  <c:v>0.88591194968553455</c:v>
                </c:pt>
                <c:pt idx="1">
                  <c:v>0.89441340782122902</c:v>
                </c:pt>
                <c:pt idx="2">
                  <c:v>0.96857142857142853</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2E75B6"/>
                    </a:solidFill>
                    <a:prstDash val="solid"/>
                  </a:ln>
                </c14:spPr>
              </c14:invertSolidFillFmt>
            </c:ext>
            <c:ext xmlns:c16="http://schemas.microsoft.com/office/drawing/2014/chart" uri="{C3380CC4-5D6E-409C-BE32-E72D297353CC}">
              <c16:uniqueId val="{00000000-C8CD-F642-B9B6-81D35839C920}"/>
            </c:ext>
          </c:extLst>
        </c:ser>
        <c:ser>
          <c:idx val="1"/>
          <c:order val="1"/>
          <c:tx>
            <c:strRef>
              <c:f>'Tổng hợp theo người'!$I$4</c:f>
              <c:strCache>
                <c:ptCount val="1"/>
                <c:pt idx="0">
                  <c:v>Q% hàng đạt</c:v>
                </c:pt>
              </c:strCache>
            </c:strRef>
          </c:tx>
          <c:spPr>
            <a:solidFill>
              <a:srgbClr val="A9D18E"/>
            </a:solidFill>
            <a:ln>
              <a:solidFill>
                <a:srgbClr val="A9D18E"/>
              </a:solidFill>
              <a:prstDash val="solid"/>
            </a:ln>
          </c:spPr>
          <c:invertIfNegative val="1"/>
          <c:dLbls>
            <c:spPr>
              <a:noFill/>
              <a:ln>
                <a:noFill/>
              </a:ln>
              <a:effectLst/>
            </c:sp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'Tổng hợp theo người'!$A$5:$A$7</c:f>
              <c:strCache>
                <c:ptCount val="3"/>
                <c:pt idx="0">
                  <c:v>NV-01</c:v>
                </c:pt>
                <c:pt idx="1">
                  <c:v>NV-02</c:v>
                </c:pt>
                <c:pt idx="2">
                  <c:v>NV-03</c:v>
                </c:pt>
              </c:strCache>
            </c:strRef>
          </c:cat>
          <c:val>
            <c:numRef>
              <c:f>'Tổng hợp theo người'!$I$5:$I$7</c:f>
              <c:numCache>
                <c:formatCode>0.0%</c:formatCode>
                <c:ptCount val="3"/>
                <c:pt idx="0">
                  <c:v>0.99428571428571433</c:v>
                </c:pt>
                <c:pt idx="1">
                  <c:v>0.99105225483178239</c:v>
                </c:pt>
                <c:pt idx="2">
                  <c:v>0.9923827217835578</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A9D18E"/>
                    </a:solidFill>
                    <a:prstDash val="solid"/>
                  </a:ln>
                </c14:spPr>
              </c14:invertSolidFillFmt>
            </c:ext>
            <c:ext xmlns:c16="http://schemas.microsoft.com/office/drawing/2014/chart" uri="{C3380CC4-5D6E-409C-BE32-E72D297353CC}">
              <c16:uniqueId val="{00000001-C8CD-F642-B9B6-81D35839C920}"/>
            </c:ext>
          </c:extLst>
        </c:ser>
        <c:ser>
          <c:idx val="2"/>
          <c:order val="2"/>
          <c:tx>
            <c:strRef>
              <c:f>'Tổng hợp theo người'!$J$4</c:f>
              <c:strCache>
                <c:ptCount val="1"/>
                <c:pt idx="0">
                  <c:v>KPI người = P × Q</c:v>
                </c:pt>
              </c:strCache>
            </c:strRef>
          </c:tx>
          <c:spPr>
            <a:solidFill>
              <a:srgbClr val="1F4E78"/>
            </a:solidFill>
            <a:ln>
              <a:solidFill>
                <a:srgbClr val="1F4E78"/>
              </a:solidFill>
              <a:prstDash val="solid"/>
            </a:ln>
          </c:spPr>
          <c:invertIfNegative val="1"/>
          <c:dLbls>
            <c:spPr>
              <a:noFill/>
              <a:ln>
                <a:noFill/>
              </a:ln>
              <a:effectLst/>
            </c:sp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'Tổng hợp theo người'!$A$5:$A$7</c:f>
              <c:strCache>
                <c:ptCount val="3"/>
                <c:pt idx="0">
                  <c:v>NV-01</c:v>
                </c:pt>
                <c:pt idx="1">
                  <c:v>NV-02</c:v>
                </c:pt>
                <c:pt idx="2">
                  <c:v>NV-03</c:v>
                </c:pt>
              </c:strCache>
            </c:strRef>
          </c:cat>
          <c:val>
            <c:numRef>
              <c:f>'Tổng hợp theo người'!$J$5:$J$7</c:f>
              <c:numCache>
                <c:formatCode>0.0%</c:formatCode>
                <c:ptCount val="3"/>
                <c:pt idx="0">
                  <c:v>0.88084959568733157</c:v>
                </c:pt>
                <c:pt idx="1">
                  <c:v>0.88641042457300756</c:v>
                </c:pt>
                <c:pt idx="2">
                  <c:v>0.9611935505275031</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F4E78"/>
                    </a:solidFill>
                    <a:prstDash val="solid"/>
                  </a:ln>
                </c14:spPr>
              </c14:invertSolidFillFmt>
            </c:ext>
            <c:ext xmlns:c16="http://schemas.microsoft.com/office/drawing/2014/chart" uri="{C3380CC4-5D6E-409C-BE32-E72D297353CC}">
              <c16:uniqueId val="{00000002-C8CD-F642-B9B6-81D35839C920}"/>
            </c:ext>
          </c:extLst>
        </c:ser>
        <c:dLbls>
          <c:showLegendKey val="0"/>
          <c:showVal val="1"/>
          <c:showCatName val="0"/>
          <c:showSerName val="0"/>
          <c:showPercent val="0"/>
          <c:showBubbleSize val="1"/>
        </c:dLbls>
        <c:gapWidth val="60"/>
        <c:axId val="10"/>
        <c:axId val="100"/>
      </c:bar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max val="1"/>
          <c:min val="0"/>
        </c:scaling>
        <c:delete val="0"/>
        <c:axPos val="l"/>
        <c:majorGridlines/>
        <c:title>
          <c:tx>
            <c:rich>
              <a:bodyPr/>
              <a:lstStyle/>
              <a:p>
                <a:pPr>
                  <a:defRPr/>
                </a:pPr>
                <a:r>
                  <a:t>%</a:t>
                </a:r>
              </a:p>
            </c:rich>
          </c:tx>
          <c:overlay val="1"/>
        </c:title>
        <c:numFmt formatCode="0%" sourceLinked="0"/>
        <c:majorTickMark val="none"/>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4</xdr:col>
      <xdr:colOff>0</xdr:colOff>
      <xdr:row>13</xdr:row>
      <xdr:rowOff>0</xdr:rowOff>
    </xdr:from>
    <xdr:ext cx="6480000" cy="288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9"/>
  <sheetViews>
    <sheetView showGridLines="0" tabSelected="1" workbookViewId="0">
      <pane xSplit="3" ySplit="5" topLeftCell="D6" activePane="bottomRight" state="frozen"/>
      <selection pane="topRight"/>
      <selection pane="bottomLeft"/>
      <selection pane="bottomRight"/>
    </sheetView>
  </sheetViews>
  <sheetFormatPr baseColWidth="10" defaultColWidth="8.83203125" defaultRowHeight="15" x14ac:dyDescent="0.2"/>
  <cols>
    <col min="1" max="1" width="7" customWidth="1"/>
    <col min="2" max="2" width="6" customWidth="1"/>
    <col min="3" max="5" width="8" customWidth="1"/>
    <col min="6" max="7" width="10" customWidth="1"/>
    <col min="8" max="8" width="11" customWidth="1"/>
    <col min="9" max="9" width="9" customWidth="1"/>
    <col min="10" max="10" width="10" customWidth="1"/>
    <col min="11" max="11" width="9" customWidth="1"/>
    <col min="12" max="13" width="8" customWidth="1"/>
    <col min="14" max="19" width="9" customWidth="1"/>
    <col min="20" max="20" width="10" customWidth="1"/>
    <col min="21" max="21" width="30" customWidth="1"/>
    <col min="22" max="22" width="12" customWidth="1"/>
    <col min="23" max="23" width="11" customWidth="1"/>
  </cols>
  <sheetData>
    <row r="1" spans="1:23" ht="18" x14ac:dyDescent="0.2">
      <c r="A1" s="1" t="s">
        <v>0</v>
      </c>
    </row>
    <row r="2" spans="1:23" x14ac:dyDescent="0.2">
      <c r="A2" s="2" t="s">
        <v>1</v>
      </c>
    </row>
    <row r="3" spans="1:23" x14ac:dyDescent="0.2">
      <c r="A3" s="3" t="s">
        <v>2</v>
      </c>
    </row>
    <row r="5" spans="1:23" ht="54" customHeight="1" x14ac:dyDescent="0.2">
      <c r="A5" s="4" t="s">
        <v>3</v>
      </c>
      <c r="B5" s="4" t="s">
        <v>4</v>
      </c>
      <c r="C5" s="4" t="s">
        <v>5</v>
      </c>
      <c r="D5" s="4" t="s">
        <v>6</v>
      </c>
      <c r="E5" s="4" t="s">
        <v>7</v>
      </c>
      <c r="F5" s="4" t="s">
        <v>8</v>
      </c>
      <c r="G5" s="4" t="s">
        <v>9</v>
      </c>
      <c r="H5" s="4" t="s">
        <v>10</v>
      </c>
      <c r="I5" s="4" t="s">
        <v>11</v>
      </c>
      <c r="J5" s="4" t="s">
        <v>12</v>
      </c>
      <c r="K5" s="4" t="s">
        <v>13</v>
      </c>
      <c r="L5" s="4" t="s">
        <v>14</v>
      </c>
      <c r="M5" s="4" t="s">
        <v>15</v>
      </c>
      <c r="N5" s="4" t="s">
        <v>16</v>
      </c>
      <c r="O5" s="4" t="s">
        <v>17</v>
      </c>
      <c r="P5" s="4" t="s">
        <v>18</v>
      </c>
      <c r="Q5" s="4" t="s">
        <v>19</v>
      </c>
      <c r="R5" s="4" t="s">
        <v>20</v>
      </c>
      <c r="S5" s="4" t="s">
        <v>21</v>
      </c>
      <c r="T5" s="4" t="s">
        <v>22</v>
      </c>
      <c r="U5" s="4" t="s">
        <v>23</v>
      </c>
      <c r="V5" s="5" t="s">
        <v>24</v>
      </c>
      <c r="W5" s="5" t="s">
        <v>25</v>
      </c>
    </row>
    <row r="6" spans="1:23" x14ac:dyDescent="0.2">
      <c r="A6" s="6" t="s">
        <v>26</v>
      </c>
      <c r="B6" s="6" t="s">
        <v>27</v>
      </c>
      <c r="C6" s="6" t="s">
        <v>28</v>
      </c>
      <c r="D6" s="6" t="s">
        <v>29</v>
      </c>
      <c r="E6" s="6" t="s">
        <v>30</v>
      </c>
      <c r="F6" s="6">
        <v>90</v>
      </c>
      <c r="G6" s="6">
        <v>420</v>
      </c>
      <c r="H6" s="6">
        <v>60</v>
      </c>
      <c r="I6" s="6">
        <v>0</v>
      </c>
      <c r="J6" s="6">
        <v>0</v>
      </c>
      <c r="K6" s="6">
        <v>216</v>
      </c>
      <c r="L6" s="6">
        <v>1</v>
      </c>
      <c r="M6" s="6">
        <v>4</v>
      </c>
      <c r="N6" s="7">
        <f t="shared" ref="N6:N29" si="0">IF($G6="","",K6*L6)</f>
        <v>216</v>
      </c>
      <c r="O6" s="7">
        <f t="shared" ref="O6:O29" si="1">IF($G6="","",N6-M6)</f>
        <v>212</v>
      </c>
      <c r="P6" s="7">
        <f t="shared" ref="P6:P29" si="2">IF($G6="","",G6-H6-I6-J6)</f>
        <v>360</v>
      </c>
      <c r="Q6" s="8">
        <f t="shared" ref="Q6:Q29" si="3">IF($G6="","",P6/G6)</f>
        <v>0.8571428571428571</v>
      </c>
      <c r="R6" s="8">
        <f t="shared" ref="R6:R29" si="4">IF(OR($G6="",P6&lt;=0),"",F6*K6/(P6*60))</f>
        <v>0.9</v>
      </c>
      <c r="S6" s="8">
        <f t="shared" ref="S6:S29" si="5">IF(OR($G6="",N6&lt;=0),"",O6/N6)</f>
        <v>0.98148148148148151</v>
      </c>
      <c r="T6" s="9">
        <f t="shared" ref="T6:T29" si="6">IF(OR(R6="",S6=""),"",R6*S6)</f>
        <v>0.88333333333333341</v>
      </c>
      <c r="U6" s="10" t="str">
        <f t="shared" ref="U6:U29" si="7">IF($G6="","",IF(R6&gt;1,"P &gt; 100%: xem lại CT chuẩn / số sp mỗi chu kỳ",IF(J6&gt;0.05*G6,"Nhiều phút dừng chưa rõ lý do","")))</f>
        <v/>
      </c>
      <c r="V6" s="11">
        <f t="shared" ref="V6:V29" si="8">IF(OR($G6="",G6-H6&lt;=0),"",(G6-H6-I6)/(G6-H6))</f>
        <v>1</v>
      </c>
      <c r="W6" s="11">
        <f t="shared" ref="W6:W29" si="9">IF(OR(T6="",V6=""),"",V6*T6)</f>
        <v>0.88333333333333341</v>
      </c>
    </row>
    <row r="7" spans="1:23" x14ac:dyDescent="0.2">
      <c r="A7" s="6" t="s">
        <v>26</v>
      </c>
      <c r="B7" s="6" t="s">
        <v>27</v>
      </c>
      <c r="C7" s="6" t="s">
        <v>31</v>
      </c>
      <c r="D7" s="6" t="s">
        <v>32</v>
      </c>
      <c r="E7" s="6" t="s">
        <v>33</v>
      </c>
      <c r="F7" s="6">
        <v>30</v>
      </c>
      <c r="G7" s="6">
        <v>420</v>
      </c>
      <c r="H7" s="6">
        <v>60</v>
      </c>
      <c r="I7" s="6">
        <v>0</v>
      </c>
      <c r="J7" s="6">
        <v>0</v>
      </c>
      <c r="K7" s="6">
        <v>648</v>
      </c>
      <c r="L7" s="6">
        <v>1</v>
      </c>
      <c r="M7" s="6">
        <v>20</v>
      </c>
      <c r="N7" s="7">
        <f t="shared" si="0"/>
        <v>648</v>
      </c>
      <c r="O7" s="7">
        <f t="shared" si="1"/>
        <v>628</v>
      </c>
      <c r="P7" s="7">
        <f t="shared" si="2"/>
        <v>360</v>
      </c>
      <c r="Q7" s="8">
        <f t="shared" si="3"/>
        <v>0.8571428571428571</v>
      </c>
      <c r="R7" s="8">
        <f t="shared" si="4"/>
        <v>0.9</v>
      </c>
      <c r="S7" s="8">
        <f t="shared" si="5"/>
        <v>0.96913580246913578</v>
      </c>
      <c r="T7" s="9">
        <f t="shared" si="6"/>
        <v>0.87222222222222223</v>
      </c>
      <c r="U7" s="10" t="str">
        <f t="shared" si="7"/>
        <v/>
      </c>
      <c r="V7" s="11">
        <f t="shared" si="8"/>
        <v>1</v>
      </c>
      <c r="W7" s="11">
        <f t="shared" si="9"/>
        <v>0.87222222222222223</v>
      </c>
    </row>
    <row r="8" spans="1:23" x14ac:dyDescent="0.2">
      <c r="A8" s="6" t="s">
        <v>26</v>
      </c>
      <c r="B8" s="6" t="s">
        <v>34</v>
      </c>
      <c r="C8" s="6" t="s">
        <v>35</v>
      </c>
      <c r="D8" s="6" t="s">
        <v>29</v>
      </c>
      <c r="E8" s="6" t="s">
        <v>36</v>
      </c>
      <c r="F8" s="6">
        <v>45</v>
      </c>
      <c r="G8" s="6">
        <v>420</v>
      </c>
      <c r="H8" s="6">
        <v>20</v>
      </c>
      <c r="I8" s="6">
        <v>0</v>
      </c>
      <c r="J8" s="6">
        <v>0</v>
      </c>
      <c r="K8" s="6">
        <v>507</v>
      </c>
      <c r="L8" s="6">
        <v>1</v>
      </c>
      <c r="M8" s="6">
        <v>5</v>
      </c>
      <c r="N8" s="7">
        <f t="shared" si="0"/>
        <v>507</v>
      </c>
      <c r="O8" s="7">
        <f t="shared" si="1"/>
        <v>502</v>
      </c>
      <c r="P8" s="7">
        <f t="shared" si="2"/>
        <v>400</v>
      </c>
      <c r="Q8" s="8">
        <f t="shared" si="3"/>
        <v>0.95238095238095233</v>
      </c>
      <c r="R8" s="8">
        <f t="shared" si="4"/>
        <v>0.95062500000000005</v>
      </c>
      <c r="S8" s="8">
        <f t="shared" si="5"/>
        <v>0.99013806706114393</v>
      </c>
      <c r="T8" s="9">
        <f t="shared" si="6"/>
        <v>0.94125000000000003</v>
      </c>
      <c r="U8" s="10" t="str">
        <f t="shared" si="7"/>
        <v/>
      </c>
      <c r="V8" s="11">
        <f t="shared" si="8"/>
        <v>1</v>
      </c>
      <c r="W8" s="11">
        <f t="shared" si="9"/>
        <v>0.94125000000000003</v>
      </c>
    </row>
    <row r="9" spans="1:23" x14ac:dyDescent="0.2">
      <c r="A9" s="6" t="s">
        <v>37</v>
      </c>
      <c r="B9" s="6" t="s">
        <v>34</v>
      </c>
      <c r="C9" s="6" t="s">
        <v>35</v>
      </c>
      <c r="D9" s="6" t="s">
        <v>29</v>
      </c>
      <c r="E9" s="6" t="s">
        <v>36</v>
      </c>
      <c r="F9" s="6">
        <v>45</v>
      </c>
      <c r="G9" s="6">
        <v>420</v>
      </c>
      <c r="H9" s="6">
        <v>380</v>
      </c>
      <c r="I9" s="6">
        <v>0</v>
      </c>
      <c r="J9" s="6">
        <v>0</v>
      </c>
      <c r="K9" s="6">
        <v>32</v>
      </c>
      <c r="L9" s="6">
        <v>1</v>
      </c>
      <c r="M9" s="6">
        <v>1</v>
      </c>
      <c r="N9" s="7">
        <f t="shared" si="0"/>
        <v>32</v>
      </c>
      <c r="O9" s="7">
        <f t="shared" si="1"/>
        <v>31</v>
      </c>
      <c r="P9" s="7">
        <f t="shared" si="2"/>
        <v>40</v>
      </c>
      <c r="Q9" s="8">
        <f t="shared" si="3"/>
        <v>9.5238095238095233E-2</v>
      </c>
      <c r="R9" s="8">
        <f t="shared" si="4"/>
        <v>0.6</v>
      </c>
      <c r="S9" s="8">
        <f t="shared" si="5"/>
        <v>0.96875</v>
      </c>
      <c r="T9" s="9">
        <f t="shared" si="6"/>
        <v>0.58124999999999993</v>
      </c>
      <c r="U9" s="10" t="str">
        <f t="shared" si="7"/>
        <v/>
      </c>
      <c r="V9" s="11">
        <f t="shared" si="8"/>
        <v>1</v>
      </c>
      <c r="W9" s="11">
        <f t="shared" si="9"/>
        <v>0.58124999999999993</v>
      </c>
    </row>
    <row r="10" spans="1:23" x14ac:dyDescent="0.2">
      <c r="A10" s="6" t="s">
        <v>37</v>
      </c>
      <c r="B10" s="6" t="s">
        <v>27</v>
      </c>
      <c r="C10" s="6" t="s">
        <v>28</v>
      </c>
      <c r="D10" s="6" t="s">
        <v>29</v>
      </c>
      <c r="E10" s="6" t="s">
        <v>30</v>
      </c>
      <c r="F10" s="6">
        <v>90</v>
      </c>
      <c r="G10" s="6">
        <v>420</v>
      </c>
      <c r="H10" s="6">
        <v>35</v>
      </c>
      <c r="I10" s="6">
        <v>10</v>
      </c>
      <c r="J10" s="6">
        <v>0</v>
      </c>
      <c r="K10" s="6">
        <v>220</v>
      </c>
      <c r="L10" s="6">
        <v>1</v>
      </c>
      <c r="M10" s="6">
        <v>3</v>
      </c>
      <c r="N10" s="7">
        <f t="shared" si="0"/>
        <v>220</v>
      </c>
      <c r="O10" s="7">
        <f t="shared" si="1"/>
        <v>217</v>
      </c>
      <c r="P10" s="7">
        <f t="shared" si="2"/>
        <v>375</v>
      </c>
      <c r="Q10" s="8">
        <f t="shared" si="3"/>
        <v>0.8928571428571429</v>
      </c>
      <c r="R10" s="8">
        <f t="shared" si="4"/>
        <v>0.88</v>
      </c>
      <c r="S10" s="8">
        <f t="shared" si="5"/>
        <v>0.98636363636363633</v>
      </c>
      <c r="T10" s="9">
        <f t="shared" si="6"/>
        <v>0.86799999999999999</v>
      </c>
      <c r="U10" s="10" t="str">
        <f t="shared" si="7"/>
        <v/>
      </c>
      <c r="V10" s="11">
        <f t="shared" si="8"/>
        <v>0.97402597402597402</v>
      </c>
      <c r="W10" s="11">
        <f t="shared" si="9"/>
        <v>0.84545454545454546</v>
      </c>
    </row>
    <row r="11" spans="1:23" x14ac:dyDescent="0.2">
      <c r="A11" s="6" t="s">
        <v>37</v>
      </c>
      <c r="B11" s="6" t="s">
        <v>27</v>
      </c>
      <c r="C11" s="6" t="s">
        <v>31</v>
      </c>
      <c r="D11" s="6" t="s">
        <v>38</v>
      </c>
      <c r="E11" s="6" t="s">
        <v>39</v>
      </c>
      <c r="F11" s="6">
        <v>4</v>
      </c>
      <c r="G11" s="6">
        <v>420</v>
      </c>
      <c r="H11" s="6">
        <v>45</v>
      </c>
      <c r="I11" s="6">
        <v>0</v>
      </c>
      <c r="J11" s="6">
        <v>0</v>
      </c>
      <c r="K11" s="6">
        <v>4725</v>
      </c>
      <c r="L11" s="6">
        <v>2</v>
      </c>
      <c r="M11" s="6">
        <v>60</v>
      </c>
      <c r="N11" s="7">
        <f t="shared" si="0"/>
        <v>9450</v>
      </c>
      <c r="O11" s="7">
        <f t="shared" si="1"/>
        <v>9390</v>
      </c>
      <c r="P11" s="7">
        <f t="shared" si="2"/>
        <v>375</v>
      </c>
      <c r="Q11" s="8">
        <f t="shared" si="3"/>
        <v>0.8928571428571429</v>
      </c>
      <c r="R11" s="8">
        <f t="shared" si="4"/>
        <v>0.84</v>
      </c>
      <c r="S11" s="8">
        <f t="shared" si="5"/>
        <v>0.99365079365079367</v>
      </c>
      <c r="T11" s="9">
        <f t="shared" si="6"/>
        <v>0.83466666666666667</v>
      </c>
      <c r="U11" s="10" t="str">
        <f t="shared" si="7"/>
        <v/>
      </c>
      <c r="V11" s="11">
        <f t="shared" si="8"/>
        <v>1</v>
      </c>
      <c r="W11" s="11">
        <f t="shared" si="9"/>
        <v>0.83466666666666667</v>
      </c>
    </row>
    <row r="12" spans="1:23" x14ac:dyDescent="0.2">
      <c r="A12" s="6" t="s">
        <v>40</v>
      </c>
      <c r="B12" s="6" t="s">
        <v>27</v>
      </c>
      <c r="C12" s="6" t="s">
        <v>28</v>
      </c>
      <c r="D12" s="6" t="s">
        <v>32</v>
      </c>
      <c r="E12" s="6" t="s">
        <v>33</v>
      </c>
      <c r="F12" s="6">
        <v>30</v>
      </c>
      <c r="G12" s="6">
        <v>420</v>
      </c>
      <c r="H12" s="6">
        <v>25</v>
      </c>
      <c r="I12" s="6">
        <v>15</v>
      </c>
      <c r="J12" s="6">
        <v>0</v>
      </c>
      <c r="K12" s="6">
        <v>654</v>
      </c>
      <c r="L12" s="6">
        <v>1</v>
      </c>
      <c r="M12" s="6">
        <v>12</v>
      </c>
      <c r="N12" s="7">
        <f t="shared" si="0"/>
        <v>654</v>
      </c>
      <c r="O12" s="7">
        <f t="shared" si="1"/>
        <v>642</v>
      </c>
      <c r="P12" s="7">
        <f t="shared" si="2"/>
        <v>380</v>
      </c>
      <c r="Q12" s="8">
        <f t="shared" si="3"/>
        <v>0.90476190476190477</v>
      </c>
      <c r="R12" s="8">
        <f t="shared" si="4"/>
        <v>0.86052631578947369</v>
      </c>
      <c r="S12" s="8">
        <f t="shared" si="5"/>
        <v>0.98165137614678899</v>
      </c>
      <c r="T12" s="9">
        <f t="shared" si="6"/>
        <v>0.84473684210526312</v>
      </c>
      <c r="U12" s="10" t="str">
        <f t="shared" si="7"/>
        <v/>
      </c>
      <c r="V12" s="11">
        <f t="shared" si="8"/>
        <v>0.96202531645569622</v>
      </c>
      <c r="W12" s="11">
        <f t="shared" si="9"/>
        <v>0.81265822784810127</v>
      </c>
    </row>
    <row r="13" spans="1:23" x14ac:dyDescent="0.2">
      <c r="A13" s="6" t="s">
        <v>40</v>
      </c>
      <c r="B13" s="6" t="s">
        <v>27</v>
      </c>
      <c r="C13" s="6" t="s">
        <v>31</v>
      </c>
      <c r="D13" s="6" t="s">
        <v>29</v>
      </c>
      <c r="E13" s="6" t="s">
        <v>30</v>
      </c>
      <c r="F13" s="6">
        <v>90</v>
      </c>
      <c r="G13" s="6">
        <v>420</v>
      </c>
      <c r="H13" s="6">
        <v>70</v>
      </c>
      <c r="I13" s="6">
        <v>0</v>
      </c>
      <c r="J13" s="6">
        <v>45</v>
      </c>
      <c r="K13" s="6">
        <v>181</v>
      </c>
      <c r="L13" s="6">
        <v>1</v>
      </c>
      <c r="M13" s="6">
        <v>3</v>
      </c>
      <c r="N13" s="7">
        <f t="shared" si="0"/>
        <v>181</v>
      </c>
      <c r="O13" s="7">
        <f t="shared" si="1"/>
        <v>178</v>
      </c>
      <c r="P13" s="7">
        <f t="shared" si="2"/>
        <v>305</v>
      </c>
      <c r="Q13" s="8">
        <f t="shared" si="3"/>
        <v>0.72619047619047616</v>
      </c>
      <c r="R13" s="8">
        <f t="shared" si="4"/>
        <v>0.89016393442622954</v>
      </c>
      <c r="S13" s="8">
        <f t="shared" si="5"/>
        <v>0.98342541436464093</v>
      </c>
      <c r="T13" s="9">
        <f t="shared" si="6"/>
        <v>0.87540983606557388</v>
      </c>
      <c r="U13" s="10" t="str">
        <f t="shared" si="7"/>
        <v>Nhiều phút dừng chưa rõ lý do</v>
      </c>
      <c r="V13" s="11">
        <f t="shared" si="8"/>
        <v>1</v>
      </c>
      <c r="W13" s="11">
        <f t="shared" si="9"/>
        <v>0.87540983606557388</v>
      </c>
    </row>
    <row r="14" spans="1:23" x14ac:dyDescent="0.2">
      <c r="A14" s="6" t="s">
        <v>40</v>
      </c>
      <c r="B14" s="6" t="s">
        <v>34</v>
      </c>
      <c r="C14" s="6" t="s">
        <v>35</v>
      </c>
      <c r="D14" s="6" t="s">
        <v>32</v>
      </c>
      <c r="E14" s="6" t="s">
        <v>36</v>
      </c>
      <c r="F14" s="6">
        <v>45</v>
      </c>
      <c r="G14" s="6">
        <v>420</v>
      </c>
      <c r="H14" s="6">
        <v>30</v>
      </c>
      <c r="I14" s="6">
        <v>5</v>
      </c>
      <c r="J14" s="6">
        <v>0</v>
      </c>
      <c r="K14" s="6">
        <v>477</v>
      </c>
      <c r="L14" s="6">
        <v>1</v>
      </c>
      <c r="M14" s="6">
        <v>4</v>
      </c>
      <c r="N14" s="7">
        <f t="shared" si="0"/>
        <v>477</v>
      </c>
      <c r="O14" s="7">
        <f t="shared" si="1"/>
        <v>473</v>
      </c>
      <c r="P14" s="7">
        <f t="shared" si="2"/>
        <v>385</v>
      </c>
      <c r="Q14" s="8">
        <f t="shared" si="3"/>
        <v>0.91666666666666663</v>
      </c>
      <c r="R14" s="8">
        <f t="shared" si="4"/>
        <v>0.92922077922077917</v>
      </c>
      <c r="S14" s="8">
        <f t="shared" si="5"/>
        <v>0.99161425576519913</v>
      </c>
      <c r="T14" s="9">
        <f t="shared" si="6"/>
        <v>0.92142857142857137</v>
      </c>
      <c r="U14" s="10" t="str">
        <f t="shared" si="7"/>
        <v/>
      </c>
      <c r="V14" s="11">
        <f t="shared" si="8"/>
        <v>0.98717948717948723</v>
      </c>
      <c r="W14" s="11">
        <f t="shared" si="9"/>
        <v>0.9096153846153846</v>
      </c>
    </row>
    <row r="15" spans="1:23" x14ac:dyDescent="0.2">
      <c r="A15" s="6" t="s">
        <v>41</v>
      </c>
      <c r="B15" s="6" t="s">
        <v>27</v>
      </c>
      <c r="C15" s="6" t="s">
        <v>28</v>
      </c>
      <c r="D15" s="6" t="s">
        <v>38</v>
      </c>
      <c r="E15" s="6" t="s">
        <v>39</v>
      </c>
      <c r="F15" s="6">
        <v>4</v>
      </c>
      <c r="G15" s="6">
        <v>420</v>
      </c>
      <c r="H15" s="6">
        <v>50</v>
      </c>
      <c r="I15" s="6">
        <v>0</v>
      </c>
      <c r="J15" s="6">
        <v>0</v>
      </c>
      <c r="K15" s="6">
        <v>4828</v>
      </c>
      <c r="L15" s="6">
        <v>2</v>
      </c>
      <c r="M15" s="6">
        <v>40</v>
      </c>
      <c r="N15" s="7">
        <f t="shared" si="0"/>
        <v>9656</v>
      </c>
      <c r="O15" s="7">
        <f t="shared" si="1"/>
        <v>9616</v>
      </c>
      <c r="P15" s="7">
        <f t="shared" si="2"/>
        <v>370</v>
      </c>
      <c r="Q15" s="8">
        <f t="shared" si="3"/>
        <v>0.88095238095238093</v>
      </c>
      <c r="R15" s="8">
        <f t="shared" si="4"/>
        <v>0.86990990990990991</v>
      </c>
      <c r="S15" s="8">
        <f t="shared" si="5"/>
        <v>0.995857497928749</v>
      </c>
      <c r="T15" s="9">
        <f t="shared" si="6"/>
        <v>0.86630630630630634</v>
      </c>
      <c r="U15" s="10" t="str">
        <f t="shared" si="7"/>
        <v/>
      </c>
      <c r="V15" s="11">
        <f t="shared" si="8"/>
        <v>1</v>
      </c>
      <c r="W15" s="11">
        <f t="shared" si="9"/>
        <v>0.86630630630630634</v>
      </c>
    </row>
    <row r="16" spans="1:23" x14ac:dyDescent="0.2">
      <c r="A16" s="6" t="s">
        <v>41</v>
      </c>
      <c r="B16" s="6" t="s">
        <v>27</v>
      </c>
      <c r="C16" s="6" t="s">
        <v>31</v>
      </c>
      <c r="D16" s="6" t="s">
        <v>32</v>
      </c>
      <c r="E16" s="6" t="s">
        <v>33</v>
      </c>
      <c r="F16" s="6">
        <v>30</v>
      </c>
      <c r="G16" s="6">
        <v>420</v>
      </c>
      <c r="H16" s="6">
        <v>40</v>
      </c>
      <c r="I16" s="6">
        <v>20</v>
      </c>
      <c r="J16" s="6">
        <v>0</v>
      </c>
      <c r="K16" s="6">
        <v>655</v>
      </c>
      <c r="L16" s="6">
        <v>1</v>
      </c>
      <c r="M16" s="6">
        <v>15</v>
      </c>
      <c r="N16" s="7">
        <f t="shared" si="0"/>
        <v>655</v>
      </c>
      <c r="O16" s="7">
        <f t="shared" si="1"/>
        <v>640</v>
      </c>
      <c r="P16" s="7">
        <f t="shared" si="2"/>
        <v>360</v>
      </c>
      <c r="Q16" s="8">
        <f t="shared" si="3"/>
        <v>0.8571428571428571</v>
      </c>
      <c r="R16" s="8">
        <f t="shared" si="4"/>
        <v>0.90972222222222221</v>
      </c>
      <c r="S16" s="8">
        <f t="shared" si="5"/>
        <v>0.97709923664122134</v>
      </c>
      <c r="T16" s="9">
        <f t="shared" si="6"/>
        <v>0.88888888888888884</v>
      </c>
      <c r="U16" s="10" t="str">
        <f t="shared" si="7"/>
        <v/>
      </c>
      <c r="V16" s="11">
        <f t="shared" si="8"/>
        <v>0.94736842105263153</v>
      </c>
      <c r="W16" s="11">
        <f t="shared" si="9"/>
        <v>0.84210526315789469</v>
      </c>
    </row>
    <row r="17" spans="1:23" x14ac:dyDescent="0.2">
      <c r="A17" s="6" t="s">
        <v>41</v>
      </c>
      <c r="B17" s="6" t="s">
        <v>34</v>
      </c>
      <c r="C17" s="6" t="s">
        <v>35</v>
      </c>
      <c r="D17" s="6" t="s">
        <v>29</v>
      </c>
      <c r="E17" s="6" t="s">
        <v>30</v>
      </c>
      <c r="F17" s="6">
        <v>90</v>
      </c>
      <c r="G17" s="6">
        <v>420</v>
      </c>
      <c r="H17" s="6">
        <v>20</v>
      </c>
      <c r="I17" s="6">
        <v>0</v>
      </c>
      <c r="J17" s="6">
        <v>0</v>
      </c>
      <c r="K17" s="6">
        <v>299</v>
      </c>
      <c r="L17" s="6">
        <v>1</v>
      </c>
      <c r="M17" s="6">
        <v>2</v>
      </c>
      <c r="N17" s="7">
        <f t="shared" si="0"/>
        <v>299</v>
      </c>
      <c r="O17" s="7">
        <f t="shared" si="1"/>
        <v>297</v>
      </c>
      <c r="P17" s="7">
        <f t="shared" si="2"/>
        <v>400</v>
      </c>
      <c r="Q17" s="8">
        <f t="shared" si="3"/>
        <v>0.95238095238095233</v>
      </c>
      <c r="R17" s="8">
        <f t="shared" si="4"/>
        <v>1.1212500000000001</v>
      </c>
      <c r="S17" s="8">
        <f t="shared" si="5"/>
        <v>0.99331103678929766</v>
      </c>
      <c r="T17" s="9">
        <f t="shared" si="6"/>
        <v>1.11375</v>
      </c>
      <c r="U17" s="10" t="str">
        <f t="shared" si="7"/>
        <v>P &gt; 100%: xem lại CT chuẩn / số sp mỗi chu kỳ</v>
      </c>
      <c r="V17" s="11">
        <f t="shared" si="8"/>
        <v>1</v>
      </c>
      <c r="W17" s="11">
        <f t="shared" si="9"/>
        <v>1.11375</v>
      </c>
    </row>
    <row r="18" spans="1:23" x14ac:dyDescent="0.2">
      <c r="A18" s="6" t="s">
        <v>42</v>
      </c>
      <c r="B18" s="6" t="s">
        <v>27</v>
      </c>
      <c r="C18" s="6" t="s">
        <v>28</v>
      </c>
      <c r="D18" s="6" t="s">
        <v>29</v>
      </c>
      <c r="E18" s="6" t="s">
        <v>36</v>
      </c>
      <c r="F18" s="6">
        <v>45</v>
      </c>
      <c r="G18" s="6">
        <v>420</v>
      </c>
      <c r="H18" s="6">
        <v>45</v>
      </c>
      <c r="I18" s="6">
        <v>5</v>
      </c>
      <c r="J18" s="6">
        <v>0</v>
      </c>
      <c r="K18" s="6">
        <v>454</v>
      </c>
      <c r="L18" s="6">
        <v>1</v>
      </c>
      <c r="M18" s="6">
        <v>5</v>
      </c>
      <c r="N18" s="7">
        <f t="shared" si="0"/>
        <v>454</v>
      </c>
      <c r="O18" s="7">
        <f t="shared" si="1"/>
        <v>449</v>
      </c>
      <c r="P18" s="7">
        <f t="shared" si="2"/>
        <v>370</v>
      </c>
      <c r="Q18" s="8">
        <f t="shared" si="3"/>
        <v>0.88095238095238093</v>
      </c>
      <c r="R18" s="8">
        <f t="shared" si="4"/>
        <v>0.92027027027027031</v>
      </c>
      <c r="S18" s="8">
        <f t="shared" si="5"/>
        <v>0.98898678414096919</v>
      </c>
      <c r="T18" s="9">
        <f t="shared" si="6"/>
        <v>0.91013513513513522</v>
      </c>
      <c r="U18" s="10" t="str">
        <f t="shared" si="7"/>
        <v/>
      </c>
      <c r="V18" s="11">
        <f t="shared" si="8"/>
        <v>0.98666666666666669</v>
      </c>
      <c r="W18" s="11">
        <f t="shared" si="9"/>
        <v>0.89800000000000013</v>
      </c>
    </row>
    <row r="19" spans="1:23" x14ac:dyDescent="0.2">
      <c r="A19" s="6" t="s">
        <v>42</v>
      </c>
      <c r="B19" s="6" t="s">
        <v>27</v>
      </c>
      <c r="C19" s="6" t="s">
        <v>31</v>
      </c>
      <c r="D19" s="6" t="s">
        <v>29</v>
      </c>
      <c r="E19" s="6" t="s">
        <v>30</v>
      </c>
      <c r="F19" s="6">
        <v>90</v>
      </c>
      <c r="G19" s="6">
        <v>420</v>
      </c>
      <c r="H19" s="6">
        <v>30</v>
      </c>
      <c r="I19" s="6">
        <v>0</v>
      </c>
      <c r="J19" s="6">
        <v>0</v>
      </c>
      <c r="K19" s="6">
        <v>242</v>
      </c>
      <c r="L19" s="6">
        <v>1</v>
      </c>
      <c r="M19" s="6">
        <v>2</v>
      </c>
      <c r="N19" s="7">
        <f t="shared" si="0"/>
        <v>242</v>
      </c>
      <c r="O19" s="7">
        <f t="shared" si="1"/>
        <v>240</v>
      </c>
      <c r="P19" s="7">
        <f t="shared" si="2"/>
        <v>390</v>
      </c>
      <c r="Q19" s="8">
        <f t="shared" si="3"/>
        <v>0.9285714285714286</v>
      </c>
      <c r="R19" s="8">
        <f t="shared" si="4"/>
        <v>0.93076923076923079</v>
      </c>
      <c r="S19" s="8">
        <f t="shared" si="5"/>
        <v>0.99173553719008267</v>
      </c>
      <c r="T19" s="9">
        <f t="shared" si="6"/>
        <v>0.92307692307692313</v>
      </c>
      <c r="U19" s="10" t="str">
        <f t="shared" si="7"/>
        <v/>
      </c>
      <c r="V19" s="11">
        <f t="shared" si="8"/>
        <v>1</v>
      </c>
      <c r="W19" s="11">
        <f t="shared" si="9"/>
        <v>0.92307692307692313</v>
      </c>
    </row>
    <row r="20" spans="1:23" x14ac:dyDescent="0.2">
      <c r="A20" s="6" t="s">
        <v>42</v>
      </c>
      <c r="B20" s="6" t="s">
        <v>34</v>
      </c>
      <c r="C20" s="6" t="s">
        <v>35</v>
      </c>
      <c r="D20" s="6" t="s">
        <v>38</v>
      </c>
      <c r="E20" s="6" t="s">
        <v>39</v>
      </c>
      <c r="F20" s="6">
        <v>4</v>
      </c>
      <c r="G20" s="6">
        <v>420</v>
      </c>
      <c r="H20" s="6">
        <v>60</v>
      </c>
      <c r="I20" s="6">
        <v>10</v>
      </c>
      <c r="J20" s="6">
        <v>0</v>
      </c>
      <c r="K20" s="6">
        <v>4725</v>
      </c>
      <c r="L20" s="6">
        <v>2</v>
      </c>
      <c r="M20" s="6">
        <v>70</v>
      </c>
      <c r="N20" s="7">
        <f t="shared" si="0"/>
        <v>9450</v>
      </c>
      <c r="O20" s="7">
        <f t="shared" si="1"/>
        <v>9380</v>
      </c>
      <c r="P20" s="7">
        <f t="shared" si="2"/>
        <v>350</v>
      </c>
      <c r="Q20" s="8">
        <f t="shared" si="3"/>
        <v>0.83333333333333337</v>
      </c>
      <c r="R20" s="8">
        <f t="shared" si="4"/>
        <v>0.9</v>
      </c>
      <c r="S20" s="8">
        <f t="shared" si="5"/>
        <v>0.99259259259259258</v>
      </c>
      <c r="T20" s="9">
        <f t="shared" si="6"/>
        <v>0.89333333333333331</v>
      </c>
      <c r="U20" s="10" t="str">
        <f t="shared" si="7"/>
        <v/>
      </c>
      <c r="V20" s="11">
        <f t="shared" si="8"/>
        <v>0.97222222222222221</v>
      </c>
      <c r="W20" s="11">
        <f t="shared" si="9"/>
        <v>0.86851851851851847</v>
      </c>
    </row>
    <row r="21" spans="1:23" x14ac:dyDescent="0.2">
      <c r="A21" s="12"/>
      <c r="B21" s="12"/>
      <c r="C21" s="12"/>
      <c r="D21" s="12"/>
      <c r="E21" s="12"/>
      <c r="F21" s="12"/>
      <c r="G21" s="12"/>
      <c r="H21" s="12"/>
      <c r="I21" s="12"/>
      <c r="J21" s="12"/>
      <c r="K21" s="12"/>
      <c r="L21" s="12"/>
      <c r="M21" s="12"/>
      <c r="N21" s="7" t="str">
        <f t="shared" si="0"/>
        <v/>
      </c>
      <c r="O21" s="7" t="str">
        <f t="shared" si="1"/>
        <v/>
      </c>
      <c r="P21" s="7" t="str">
        <f t="shared" si="2"/>
        <v/>
      </c>
      <c r="Q21" s="8" t="str">
        <f t="shared" si="3"/>
        <v/>
      </c>
      <c r="R21" s="8" t="str">
        <f t="shared" si="4"/>
        <v/>
      </c>
      <c r="S21" s="8" t="str">
        <f t="shared" si="5"/>
        <v/>
      </c>
      <c r="T21" s="9" t="str">
        <f t="shared" si="6"/>
        <v/>
      </c>
      <c r="U21" s="10" t="str">
        <f t="shared" si="7"/>
        <v/>
      </c>
      <c r="V21" s="11" t="str">
        <f t="shared" si="8"/>
        <v/>
      </c>
      <c r="W21" s="11" t="str">
        <f t="shared" si="9"/>
        <v/>
      </c>
    </row>
    <row r="22" spans="1:23" x14ac:dyDescent="0.2">
      <c r="A22" s="12"/>
      <c r="B22" s="12"/>
      <c r="C22" s="12"/>
      <c r="D22" s="12"/>
      <c r="E22" s="12"/>
      <c r="F22" s="12"/>
      <c r="G22" s="12"/>
      <c r="H22" s="12"/>
      <c r="I22" s="12"/>
      <c r="J22" s="12"/>
      <c r="K22" s="12"/>
      <c r="L22" s="12"/>
      <c r="M22" s="12"/>
      <c r="N22" s="7" t="str">
        <f t="shared" si="0"/>
        <v/>
      </c>
      <c r="O22" s="7" t="str">
        <f t="shared" si="1"/>
        <v/>
      </c>
      <c r="P22" s="7" t="str">
        <f t="shared" si="2"/>
        <v/>
      </c>
      <c r="Q22" s="8" t="str">
        <f t="shared" si="3"/>
        <v/>
      </c>
      <c r="R22" s="8" t="str">
        <f t="shared" si="4"/>
        <v/>
      </c>
      <c r="S22" s="8" t="str">
        <f t="shared" si="5"/>
        <v/>
      </c>
      <c r="T22" s="9" t="str">
        <f t="shared" si="6"/>
        <v/>
      </c>
      <c r="U22" s="10" t="str">
        <f t="shared" si="7"/>
        <v/>
      </c>
      <c r="V22" s="11" t="str">
        <f t="shared" si="8"/>
        <v/>
      </c>
      <c r="W22" s="11" t="str">
        <f t="shared" si="9"/>
        <v/>
      </c>
    </row>
    <row r="23" spans="1:23" x14ac:dyDescent="0.2">
      <c r="A23" s="12"/>
      <c r="B23" s="12"/>
      <c r="C23" s="12"/>
      <c r="D23" s="12"/>
      <c r="E23" s="12"/>
      <c r="F23" s="12"/>
      <c r="G23" s="12"/>
      <c r="H23" s="12"/>
      <c r="I23" s="12"/>
      <c r="J23" s="12"/>
      <c r="K23" s="12"/>
      <c r="L23" s="12"/>
      <c r="M23" s="12"/>
      <c r="N23" s="7" t="str">
        <f t="shared" si="0"/>
        <v/>
      </c>
      <c r="O23" s="7" t="str">
        <f t="shared" si="1"/>
        <v/>
      </c>
      <c r="P23" s="7" t="str">
        <f t="shared" si="2"/>
        <v/>
      </c>
      <c r="Q23" s="8" t="str">
        <f t="shared" si="3"/>
        <v/>
      </c>
      <c r="R23" s="8" t="str">
        <f t="shared" si="4"/>
        <v/>
      </c>
      <c r="S23" s="8" t="str">
        <f t="shared" si="5"/>
        <v/>
      </c>
      <c r="T23" s="9" t="str">
        <f t="shared" si="6"/>
        <v/>
      </c>
      <c r="U23" s="10" t="str">
        <f t="shared" si="7"/>
        <v/>
      </c>
      <c r="V23" s="11" t="str">
        <f t="shared" si="8"/>
        <v/>
      </c>
      <c r="W23" s="11" t="str">
        <f t="shared" si="9"/>
        <v/>
      </c>
    </row>
    <row r="24" spans="1:23" x14ac:dyDescent="0.2">
      <c r="A24" s="12"/>
      <c r="B24" s="12"/>
      <c r="C24" s="12"/>
      <c r="D24" s="12"/>
      <c r="E24" s="12"/>
      <c r="F24" s="12"/>
      <c r="G24" s="12"/>
      <c r="H24" s="12"/>
      <c r="I24" s="12"/>
      <c r="J24" s="12"/>
      <c r="K24" s="12"/>
      <c r="L24" s="12"/>
      <c r="M24" s="12"/>
      <c r="N24" s="7" t="str">
        <f t="shared" si="0"/>
        <v/>
      </c>
      <c r="O24" s="7" t="str">
        <f t="shared" si="1"/>
        <v/>
      </c>
      <c r="P24" s="7" t="str">
        <f t="shared" si="2"/>
        <v/>
      </c>
      <c r="Q24" s="8" t="str">
        <f t="shared" si="3"/>
        <v/>
      </c>
      <c r="R24" s="8" t="str">
        <f t="shared" si="4"/>
        <v/>
      </c>
      <c r="S24" s="8" t="str">
        <f t="shared" si="5"/>
        <v/>
      </c>
      <c r="T24" s="9" t="str">
        <f t="shared" si="6"/>
        <v/>
      </c>
      <c r="U24" s="10" t="str">
        <f t="shared" si="7"/>
        <v/>
      </c>
      <c r="V24" s="11" t="str">
        <f t="shared" si="8"/>
        <v/>
      </c>
      <c r="W24" s="11" t="str">
        <f t="shared" si="9"/>
        <v/>
      </c>
    </row>
    <row r="25" spans="1:23" x14ac:dyDescent="0.2">
      <c r="A25" s="12"/>
      <c r="B25" s="12"/>
      <c r="C25" s="12"/>
      <c r="D25" s="12"/>
      <c r="E25" s="12"/>
      <c r="F25" s="12"/>
      <c r="G25" s="12"/>
      <c r="H25" s="12"/>
      <c r="I25" s="12"/>
      <c r="J25" s="12"/>
      <c r="K25" s="12"/>
      <c r="L25" s="12"/>
      <c r="M25" s="12"/>
      <c r="N25" s="7" t="str">
        <f t="shared" si="0"/>
        <v/>
      </c>
      <c r="O25" s="7" t="str">
        <f t="shared" si="1"/>
        <v/>
      </c>
      <c r="P25" s="7" t="str">
        <f t="shared" si="2"/>
        <v/>
      </c>
      <c r="Q25" s="8" t="str">
        <f t="shared" si="3"/>
        <v/>
      </c>
      <c r="R25" s="8" t="str">
        <f t="shared" si="4"/>
        <v/>
      </c>
      <c r="S25" s="8" t="str">
        <f t="shared" si="5"/>
        <v/>
      </c>
      <c r="T25" s="9" t="str">
        <f t="shared" si="6"/>
        <v/>
      </c>
      <c r="U25" s="10" t="str">
        <f t="shared" si="7"/>
        <v/>
      </c>
      <c r="V25" s="11" t="str">
        <f t="shared" si="8"/>
        <v/>
      </c>
      <c r="W25" s="11" t="str">
        <f t="shared" si="9"/>
        <v/>
      </c>
    </row>
    <row r="26" spans="1:23" x14ac:dyDescent="0.2">
      <c r="A26" s="12"/>
      <c r="B26" s="12"/>
      <c r="C26" s="12"/>
      <c r="D26" s="12"/>
      <c r="E26" s="12"/>
      <c r="F26" s="12"/>
      <c r="G26" s="12"/>
      <c r="H26" s="12"/>
      <c r="I26" s="12"/>
      <c r="J26" s="12"/>
      <c r="K26" s="12"/>
      <c r="L26" s="12"/>
      <c r="M26" s="12"/>
      <c r="N26" s="7" t="str">
        <f t="shared" si="0"/>
        <v/>
      </c>
      <c r="O26" s="7" t="str">
        <f t="shared" si="1"/>
        <v/>
      </c>
      <c r="P26" s="7" t="str">
        <f t="shared" si="2"/>
        <v/>
      </c>
      <c r="Q26" s="8" t="str">
        <f t="shared" si="3"/>
        <v/>
      </c>
      <c r="R26" s="8" t="str">
        <f t="shared" si="4"/>
        <v/>
      </c>
      <c r="S26" s="8" t="str">
        <f t="shared" si="5"/>
        <v/>
      </c>
      <c r="T26" s="9" t="str">
        <f t="shared" si="6"/>
        <v/>
      </c>
      <c r="U26" s="10" t="str">
        <f t="shared" si="7"/>
        <v/>
      </c>
      <c r="V26" s="11" t="str">
        <f t="shared" si="8"/>
        <v/>
      </c>
      <c r="W26" s="11" t="str">
        <f t="shared" si="9"/>
        <v/>
      </c>
    </row>
    <row r="27" spans="1:23" x14ac:dyDescent="0.2">
      <c r="A27" s="12"/>
      <c r="B27" s="12"/>
      <c r="C27" s="12"/>
      <c r="D27" s="12"/>
      <c r="E27" s="12"/>
      <c r="F27" s="12"/>
      <c r="G27" s="12"/>
      <c r="H27" s="12"/>
      <c r="I27" s="12"/>
      <c r="J27" s="12"/>
      <c r="K27" s="12"/>
      <c r="L27" s="12"/>
      <c r="M27" s="12"/>
      <c r="N27" s="7" t="str">
        <f t="shared" si="0"/>
        <v/>
      </c>
      <c r="O27" s="7" t="str">
        <f t="shared" si="1"/>
        <v/>
      </c>
      <c r="P27" s="7" t="str">
        <f t="shared" si="2"/>
        <v/>
      </c>
      <c r="Q27" s="8" t="str">
        <f t="shared" si="3"/>
        <v/>
      </c>
      <c r="R27" s="8" t="str">
        <f t="shared" si="4"/>
        <v/>
      </c>
      <c r="S27" s="8" t="str">
        <f t="shared" si="5"/>
        <v/>
      </c>
      <c r="T27" s="9" t="str">
        <f t="shared" si="6"/>
        <v/>
      </c>
      <c r="U27" s="10" t="str">
        <f t="shared" si="7"/>
        <v/>
      </c>
      <c r="V27" s="11" t="str">
        <f t="shared" si="8"/>
        <v/>
      </c>
      <c r="W27" s="11" t="str">
        <f t="shared" si="9"/>
        <v/>
      </c>
    </row>
    <row r="28" spans="1:23" x14ac:dyDescent="0.2">
      <c r="A28" s="12"/>
      <c r="B28" s="12"/>
      <c r="C28" s="12"/>
      <c r="D28" s="12"/>
      <c r="E28" s="12"/>
      <c r="F28" s="12"/>
      <c r="G28" s="12"/>
      <c r="H28" s="12"/>
      <c r="I28" s="12"/>
      <c r="J28" s="12"/>
      <c r="K28" s="12"/>
      <c r="L28" s="12"/>
      <c r="M28" s="12"/>
      <c r="N28" s="7" t="str">
        <f t="shared" si="0"/>
        <v/>
      </c>
      <c r="O28" s="7" t="str">
        <f t="shared" si="1"/>
        <v/>
      </c>
      <c r="P28" s="7" t="str">
        <f t="shared" si="2"/>
        <v/>
      </c>
      <c r="Q28" s="8" t="str">
        <f t="shared" si="3"/>
        <v/>
      </c>
      <c r="R28" s="8" t="str">
        <f t="shared" si="4"/>
        <v/>
      </c>
      <c r="S28" s="8" t="str">
        <f t="shared" si="5"/>
        <v/>
      </c>
      <c r="T28" s="9" t="str">
        <f t="shared" si="6"/>
        <v/>
      </c>
      <c r="U28" s="10" t="str">
        <f t="shared" si="7"/>
        <v/>
      </c>
      <c r="V28" s="11" t="str">
        <f t="shared" si="8"/>
        <v/>
      </c>
      <c r="W28" s="11" t="str">
        <f t="shared" si="9"/>
        <v/>
      </c>
    </row>
    <row r="29" spans="1:23" x14ac:dyDescent="0.2">
      <c r="A29" s="12"/>
      <c r="B29" s="12"/>
      <c r="C29" s="12"/>
      <c r="D29" s="12"/>
      <c r="E29" s="12"/>
      <c r="F29" s="12"/>
      <c r="G29" s="12"/>
      <c r="H29" s="12"/>
      <c r="I29" s="12"/>
      <c r="J29" s="12"/>
      <c r="K29" s="12"/>
      <c r="L29" s="12"/>
      <c r="M29" s="12"/>
      <c r="N29" s="7" t="str">
        <f t="shared" si="0"/>
        <v/>
      </c>
      <c r="O29" s="7" t="str">
        <f t="shared" si="1"/>
        <v/>
      </c>
      <c r="P29" s="7" t="str">
        <f t="shared" si="2"/>
        <v/>
      </c>
      <c r="Q29" s="8" t="str">
        <f t="shared" si="3"/>
        <v/>
      </c>
      <c r="R29" s="8" t="str">
        <f t="shared" si="4"/>
        <v/>
      </c>
      <c r="S29" s="8" t="str">
        <f t="shared" si="5"/>
        <v/>
      </c>
      <c r="T29" s="9" t="str">
        <f t="shared" si="6"/>
        <v/>
      </c>
      <c r="U29" s="10" t="str">
        <f t="shared" si="7"/>
        <v/>
      </c>
      <c r="V29" s="11" t="str">
        <f t="shared" si="8"/>
        <v/>
      </c>
      <c r="W29" s="11" t="str">
        <f t="shared" si="9"/>
        <v/>
      </c>
    </row>
  </sheetData>
  <conditionalFormatting sqref="U6:U29">
    <cfRule type="expression" dxfId="0" priority="1">
      <formula>LEN(U6)&gt;0</formula>
    </cfRule>
  </conditionalFormatting>
  <pageMargins left="0.75" right="0.75" top="1" bottom="1" header="0.5" footer="0.5"/>
  <pageSetup fitToHeight="0" orientation="landscape"/>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4"/>
  <sheetViews>
    <sheetView showGridLines="0" workbookViewId="0"/>
  </sheetViews>
  <sheetFormatPr baseColWidth="10" defaultColWidth="8.83203125" defaultRowHeight="15" x14ac:dyDescent="0.2"/>
  <cols>
    <col min="1" max="1" width="12" customWidth="1"/>
    <col min="2" max="2" width="7" customWidth="1"/>
    <col min="3" max="4" width="10" customWidth="1"/>
    <col min="5" max="5" width="11" customWidth="1"/>
    <col min="6" max="6" width="10" customWidth="1"/>
    <col min="7" max="7" width="11" customWidth="1"/>
    <col min="8" max="9" width="10" customWidth="1"/>
    <col min="10" max="11" width="11" customWidth="1"/>
    <col min="12" max="12" width="12" customWidth="1"/>
    <col min="13" max="13" width="10" customWidth="1"/>
    <col min="14" max="14" width="11" customWidth="1"/>
    <col min="15" max="15" width="12" customWidth="1"/>
  </cols>
  <sheetData>
    <row r="1" spans="1:15" ht="18" x14ac:dyDescent="0.2">
      <c r="A1" s="1" t="s">
        <v>43</v>
      </c>
    </row>
    <row r="2" spans="1:15" x14ac:dyDescent="0.2">
      <c r="A2" s="2" t="s">
        <v>44</v>
      </c>
    </row>
    <row r="4" spans="1:15" ht="42" customHeight="1" x14ac:dyDescent="0.2">
      <c r="A4" s="4" t="s">
        <v>5</v>
      </c>
      <c r="B4" s="4" t="s">
        <v>45</v>
      </c>
      <c r="C4" s="4" t="s">
        <v>46</v>
      </c>
      <c r="D4" s="4" t="s">
        <v>47</v>
      </c>
      <c r="E4" s="4" t="s">
        <v>48</v>
      </c>
      <c r="F4" s="4" t="s">
        <v>20</v>
      </c>
      <c r="G4" s="4" t="s">
        <v>49</v>
      </c>
      <c r="H4" s="4" t="s">
        <v>50</v>
      </c>
      <c r="I4" s="4" t="s">
        <v>21</v>
      </c>
      <c r="J4" s="4" t="s">
        <v>22</v>
      </c>
      <c r="K4" s="4" t="s">
        <v>51</v>
      </c>
      <c r="L4" s="4" t="s">
        <v>52</v>
      </c>
      <c r="M4" s="4" t="s">
        <v>53</v>
      </c>
      <c r="N4" s="4" t="s">
        <v>54</v>
      </c>
      <c r="O4" s="5" t="s">
        <v>25</v>
      </c>
    </row>
    <row r="5" spans="1:15" x14ac:dyDescent="0.2">
      <c r="A5" s="13" t="s">
        <v>28</v>
      </c>
      <c r="B5" s="7">
        <f>IF($A5="","",COUNTIF('Nhật ký ca'!$C$6:$C$29,$A5))</f>
        <v>5</v>
      </c>
      <c r="C5" s="14">
        <f>IF($A5="","",SUMIF('Nhật ký ca'!$C$6:$C$29,$A5,'Nhật ký ca'!$G$6:$G$29))</f>
        <v>2100</v>
      </c>
      <c r="D5" s="14">
        <f>IF($A5="","",SUMIF('Nhật ký ca'!$C$6:$C$29,$A5,'Nhật ký ca'!$P$6:$P$29))</f>
        <v>1855</v>
      </c>
      <c r="E5" s="15">
        <f>IF($A5="","",SUMPRODUCT(('Nhật ký ca'!$C$6:$C$29=$A5)*'Nhật ký ca'!$F$6:$F$29*'Nhật ký ca'!$K$6:$K$29)/60)</f>
        <v>1643.3666666666666</v>
      </c>
      <c r="F5" s="8">
        <f t="shared" ref="F5:F10" si="0">IF(OR($A5="",D5&lt;=0),"",E5/D5)</f>
        <v>0.88591194968553455</v>
      </c>
      <c r="G5" s="14">
        <f>IF($A5="","",SUMIF('Nhật ký ca'!$C$6:$C$29,$A5,'Nhật ký ca'!$N$6:$N$29))</f>
        <v>11200</v>
      </c>
      <c r="H5" s="14">
        <f>IF($A5="","",SUMIF('Nhật ký ca'!$C$6:$C$29,$A5,'Nhật ký ca'!$M$6:$M$29))</f>
        <v>64</v>
      </c>
      <c r="I5" s="8">
        <f t="shared" ref="I5:I10" si="1">IF(OR($A5="",G5&lt;=0),"",(G5-H5)/G5)</f>
        <v>0.99428571428571433</v>
      </c>
      <c r="J5" s="9">
        <f t="shared" ref="J5:J10" si="2">IF(OR(F5="",I5=""),"",F5*I5)</f>
        <v>0.88084959568733157</v>
      </c>
      <c r="K5" s="16">
        <f>IF($A5="","",IFERROR(1-SUMIF('Nhật ký ca'!$C$6:$C$29,$A5,'Nhật ký ca'!$J$6:$J$29)/(SUMIF('Nhật ký ca'!$C$6:$C$29,$A5,'Nhật ký ca'!$H$6:$H$29)+SUMIF('Nhật ký ca'!$C$6:$C$29,$A5,'Nhật ký ca'!$I$6:$I$29)+SUMIF('Nhật ký ca'!$C$6:$C$29,$A5,'Nhật ký ca'!$J$6:$J$29)),1))</f>
        <v>1</v>
      </c>
      <c r="L5" s="7" t="str">
        <f>IF(OR(J5="",C5=""),"",IF(AND(C5&gt;=$C$15,K5&gt;=$C$16,COUNTIFS('Nhật ký ca'!$C$6:$C$29,$A5,'Nhật ký ca'!$R$6:$R$29,"&gt;1")=0),"Đủ","Chưa đủ"))</f>
        <v>Đủ</v>
      </c>
      <c r="M5" s="7" t="str">
        <f t="shared" ref="M5:M10" si="3">IF(L5&lt;&gt;"Đủ","—",IF(J5&gt;=$B$22,"Bậc 3",IF(J5&gt;=$B$21,"Bậc 2",IF(J5&gt;=$B$20,"Bậc 1","Chưa đạt"))))</f>
        <v>Bậc 2</v>
      </c>
      <c r="N5" s="17">
        <f t="shared" ref="N5:N10" si="4">IF(L5&lt;&gt;"Đủ","",IF(J5&gt;=$B$22,$C$22,IF(J5&gt;=$B$21,$C$21,IF(J5&gt;=$B$20,$C$20,0))))</f>
        <v>1</v>
      </c>
      <c r="O5" s="11">
        <f>IF(OR($A5="",J5=""),"",IFERROR((C5-SUMIF('Nhật ký ca'!$C$6:$C$29,$A5,'Nhật ký ca'!$H$6:$H$29)-SUMIF('Nhật ký ca'!$C$6:$C$29,$A5,'Nhật ký ca'!$I$6:$I$29))/(C5-SUMIF('Nhật ký ca'!$C$6:$C$29,$A5,'Nhật ký ca'!$H$6:$H$29))*J5,""))</f>
        <v>0.86683076923076929</v>
      </c>
    </row>
    <row r="6" spans="1:15" x14ac:dyDescent="0.2">
      <c r="A6" s="13" t="s">
        <v>31</v>
      </c>
      <c r="B6" s="7">
        <f>IF($A6="","",COUNTIF('Nhật ký ca'!$C$6:$C$29,$A6))</f>
        <v>5</v>
      </c>
      <c r="C6" s="14">
        <f>IF($A6="","",SUMIF('Nhật ký ca'!$C$6:$C$29,$A6,'Nhật ký ca'!$G$6:$G$29))</f>
        <v>2100</v>
      </c>
      <c r="D6" s="14">
        <f>IF($A6="","",SUMIF('Nhật ký ca'!$C$6:$C$29,$A6,'Nhật ký ca'!$P$6:$P$29))</f>
        <v>1790</v>
      </c>
      <c r="E6" s="15">
        <f>IF($A6="","",SUMPRODUCT(('Nhật ký ca'!$C$6:$C$29=$A6)*'Nhật ký ca'!$F$6:$F$29*'Nhật ký ca'!$K$6:$K$29)/60)</f>
        <v>1601</v>
      </c>
      <c r="F6" s="8">
        <f t="shared" si="0"/>
        <v>0.89441340782122902</v>
      </c>
      <c r="G6" s="14">
        <f>IF($A6="","",SUMIF('Nhật ký ca'!$C$6:$C$29,$A6,'Nhật ký ca'!$N$6:$N$29))</f>
        <v>11176</v>
      </c>
      <c r="H6" s="14">
        <f>IF($A6="","",SUMIF('Nhật ký ca'!$C$6:$C$29,$A6,'Nhật ký ca'!$M$6:$M$29))</f>
        <v>100</v>
      </c>
      <c r="I6" s="8">
        <f t="shared" si="1"/>
        <v>0.99105225483178239</v>
      </c>
      <c r="J6" s="9">
        <f t="shared" si="2"/>
        <v>0.88641042457300756</v>
      </c>
      <c r="K6" s="16">
        <f>IF($A6="","",IFERROR(1-SUMIF('Nhật ký ca'!$C$6:$C$29,$A6,'Nhật ký ca'!$J$6:$J$29)/(SUMIF('Nhật ký ca'!$C$6:$C$29,$A6,'Nhật ký ca'!$H$6:$H$29)+SUMIF('Nhật ký ca'!$C$6:$C$29,$A6,'Nhật ký ca'!$I$6:$I$29)+SUMIF('Nhật ký ca'!$C$6:$C$29,$A6,'Nhật ký ca'!$J$6:$J$29)),1))</f>
        <v>0.85483870967741937</v>
      </c>
      <c r="L6" s="7" t="str">
        <f>IF(OR(J6="",C6=""),"",IF(AND(C6&gt;=$C$15,K6&gt;=$C$16,COUNTIFS('Nhật ký ca'!$C$6:$C$29,$A6,'Nhật ký ca'!$R$6:$R$29,"&gt;1")=0),"Đủ","Chưa đủ"))</f>
        <v>Chưa đủ</v>
      </c>
      <c r="M6" s="7" t="str">
        <f t="shared" si="3"/>
        <v>—</v>
      </c>
      <c r="N6" s="17" t="str">
        <f t="shared" si="4"/>
        <v/>
      </c>
      <c r="O6" s="11">
        <f>IF(OR($A6="",J6=""),"",IFERROR((C6-SUMIF('Nhật ký ca'!$C$6:$C$29,$A6,'Nhật ký ca'!$H$6:$H$29)-SUMIF('Nhật ký ca'!$C$6:$C$29,$A6,'Nhật ký ca'!$I$6:$I$29))/(C6-SUMIF('Nhật ký ca'!$C$6:$C$29,$A6,'Nhật ký ca'!$H$6:$H$29))*J6,""))</f>
        <v>0.87685343886332556</v>
      </c>
    </row>
    <row r="7" spans="1:15" x14ac:dyDescent="0.2">
      <c r="A7" s="13" t="s">
        <v>35</v>
      </c>
      <c r="B7" s="7">
        <f>IF($A7="","",COUNTIF('Nhật ký ca'!$C$6:$C$29,$A7))</f>
        <v>5</v>
      </c>
      <c r="C7" s="14">
        <f>IF($A7="","",SUMIF('Nhật ký ca'!$C$6:$C$29,$A7,'Nhật ký ca'!$G$6:$G$29))</f>
        <v>2100</v>
      </c>
      <c r="D7" s="14">
        <f>IF($A7="","",SUMIF('Nhật ký ca'!$C$6:$C$29,$A7,'Nhật ký ca'!$P$6:$P$29))</f>
        <v>1575</v>
      </c>
      <c r="E7" s="15">
        <f>IF($A7="","",SUMPRODUCT(('Nhật ký ca'!$C$6:$C$29=$A7)*'Nhật ký ca'!$F$6:$F$29*'Nhật ký ca'!$K$6:$K$29)/60)</f>
        <v>1525.5</v>
      </c>
      <c r="F7" s="8">
        <f t="shared" si="0"/>
        <v>0.96857142857142853</v>
      </c>
      <c r="G7" s="14">
        <f>IF($A7="","",SUMIF('Nhật ký ca'!$C$6:$C$29,$A7,'Nhật ký ca'!$N$6:$N$29))</f>
        <v>10765</v>
      </c>
      <c r="H7" s="14">
        <f>IF($A7="","",SUMIF('Nhật ký ca'!$C$6:$C$29,$A7,'Nhật ký ca'!$M$6:$M$29))</f>
        <v>82</v>
      </c>
      <c r="I7" s="8">
        <f t="shared" si="1"/>
        <v>0.9923827217835578</v>
      </c>
      <c r="J7" s="9">
        <f t="shared" si="2"/>
        <v>0.9611935505275031</v>
      </c>
      <c r="K7" s="16">
        <f>IF($A7="","",IFERROR(1-SUMIF('Nhật ký ca'!$C$6:$C$29,$A7,'Nhật ký ca'!$J$6:$J$29)/(SUMIF('Nhật ký ca'!$C$6:$C$29,$A7,'Nhật ký ca'!$H$6:$H$29)+SUMIF('Nhật ký ca'!$C$6:$C$29,$A7,'Nhật ký ca'!$I$6:$I$29)+SUMIF('Nhật ký ca'!$C$6:$C$29,$A7,'Nhật ký ca'!$J$6:$J$29)),1))</f>
        <v>1</v>
      </c>
      <c r="L7" s="7" t="str">
        <f>IF(OR(J7="",C7=""),"",IF(AND(C7&gt;=$C$15,K7&gt;=$C$16,COUNTIFS('Nhật ký ca'!$C$6:$C$29,$A7,'Nhật ký ca'!$R$6:$R$29,"&gt;1")=0),"Đủ","Chưa đủ"))</f>
        <v>Chưa đủ</v>
      </c>
      <c r="M7" s="7" t="str">
        <f t="shared" si="3"/>
        <v>—</v>
      </c>
      <c r="N7" s="17" t="str">
        <f t="shared" si="4"/>
        <v/>
      </c>
      <c r="O7" s="11">
        <f>IF(OR($A7="",J7=""),"",IFERROR((C7-SUMIF('Nhật ký ca'!$C$6:$C$29,$A7,'Nhật ký ca'!$H$6:$H$29)-SUMIF('Nhật ký ca'!$C$6:$C$29,$A7,'Nhật ký ca'!$I$6:$I$29))/(C7-SUMIF('Nhật ký ca'!$C$6:$C$29,$A7,'Nhật ký ca'!$H$6:$H$29))*J7,""))</f>
        <v>0.95212568684328136</v>
      </c>
    </row>
    <row r="8" spans="1:15" x14ac:dyDescent="0.2">
      <c r="A8" s="13"/>
      <c r="B8" s="7" t="str">
        <f>IF($A8="","",COUNTIF('Nhật ký ca'!$C$6:$C$29,$A8))</f>
        <v/>
      </c>
      <c r="C8" s="14" t="str">
        <f>IF($A8="","",SUMIF('Nhật ký ca'!$C$6:$C$29,$A8,'Nhật ký ca'!$G$6:$G$29))</f>
        <v/>
      </c>
      <c r="D8" s="14" t="str">
        <f>IF($A8="","",SUMIF('Nhật ký ca'!$C$6:$C$29,$A8,'Nhật ký ca'!$P$6:$P$29))</f>
        <v/>
      </c>
      <c r="E8" s="15" t="str">
        <f>IF($A8="","",SUMPRODUCT(('Nhật ký ca'!$C$6:$C$29=$A8)*'Nhật ký ca'!$F$6:$F$29*'Nhật ký ca'!$K$6:$K$29)/60)</f>
        <v/>
      </c>
      <c r="F8" s="8" t="str">
        <f t="shared" si="0"/>
        <v/>
      </c>
      <c r="G8" s="14" t="str">
        <f>IF($A8="","",SUMIF('Nhật ký ca'!$C$6:$C$29,$A8,'Nhật ký ca'!$N$6:$N$29))</f>
        <v/>
      </c>
      <c r="H8" s="14" t="str">
        <f>IF($A8="","",SUMIF('Nhật ký ca'!$C$6:$C$29,$A8,'Nhật ký ca'!$M$6:$M$29))</f>
        <v/>
      </c>
      <c r="I8" s="8" t="str">
        <f t="shared" si="1"/>
        <v/>
      </c>
      <c r="J8" s="9" t="str">
        <f t="shared" si="2"/>
        <v/>
      </c>
      <c r="K8" s="16" t="str">
        <f>IF($A8="","",IFERROR(1-SUMIF('Nhật ký ca'!$C$6:$C$29,$A8,'Nhật ký ca'!$J$6:$J$29)/(SUMIF('Nhật ký ca'!$C$6:$C$29,$A8,'Nhật ký ca'!$H$6:$H$29)+SUMIF('Nhật ký ca'!$C$6:$C$29,$A8,'Nhật ký ca'!$I$6:$I$29)+SUMIF('Nhật ký ca'!$C$6:$C$29,$A8,'Nhật ký ca'!$J$6:$J$29)),1))</f>
        <v/>
      </c>
      <c r="L8" s="7" t="str">
        <f>IF(OR(J8="",C8=""),"",IF(AND(C8&gt;=$C$15,K8&gt;=$C$16,COUNTIFS('Nhật ký ca'!$C$6:$C$29,$A8,'Nhật ký ca'!$R$6:$R$29,"&gt;1")=0),"Đủ","Chưa đủ"))</f>
        <v/>
      </c>
      <c r="M8" s="7" t="str">
        <f t="shared" si="3"/>
        <v>—</v>
      </c>
      <c r="N8" s="17" t="str">
        <f t="shared" si="4"/>
        <v/>
      </c>
      <c r="O8" s="11" t="str">
        <f>IF(OR($A8="",J8=""),"",IFERROR((C8-SUMIF('Nhật ký ca'!$C$6:$C$29,$A8,'Nhật ký ca'!$H$6:$H$29)-SUMIF('Nhật ký ca'!$C$6:$C$29,$A8,'Nhật ký ca'!$I$6:$I$29))/(C8-SUMIF('Nhật ký ca'!$C$6:$C$29,$A8,'Nhật ký ca'!$H$6:$H$29))*J8,""))</f>
        <v/>
      </c>
    </row>
    <row r="9" spans="1:15" x14ac:dyDescent="0.2">
      <c r="A9" s="13"/>
      <c r="B9" s="7" t="str">
        <f>IF($A9="","",COUNTIF('Nhật ký ca'!$C$6:$C$29,$A9))</f>
        <v/>
      </c>
      <c r="C9" s="14" t="str">
        <f>IF($A9="","",SUMIF('Nhật ký ca'!$C$6:$C$29,$A9,'Nhật ký ca'!$G$6:$G$29))</f>
        <v/>
      </c>
      <c r="D9" s="14" t="str">
        <f>IF($A9="","",SUMIF('Nhật ký ca'!$C$6:$C$29,$A9,'Nhật ký ca'!$P$6:$P$29))</f>
        <v/>
      </c>
      <c r="E9" s="15" t="str">
        <f>IF($A9="","",SUMPRODUCT(('Nhật ký ca'!$C$6:$C$29=$A9)*'Nhật ký ca'!$F$6:$F$29*'Nhật ký ca'!$K$6:$K$29)/60)</f>
        <v/>
      </c>
      <c r="F9" s="8" t="str">
        <f t="shared" si="0"/>
        <v/>
      </c>
      <c r="G9" s="14" t="str">
        <f>IF($A9="","",SUMIF('Nhật ký ca'!$C$6:$C$29,$A9,'Nhật ký ca'!$N$6:$N$29))</f>
        <v/>
      </c>
      <c r="H9" s="14" t="str">
        <f>IF($A9="","",SUMIF('Nhật ký ca'!$C$6:$C$29,$A9,'Nhật ký ca'!$M$6:$M$29))</f>
        <v/>
      </c>
      <c r="I9" s="8" t="str">
        <f t="shared" si="1"/>
        <v/>
      </c>
      <c r="J9" s="9" t="str">
        <f t="shared" si="2"/>
        <v/>
      </c>
      <c r="K9" s="16" t="str">
        <f>IF($A9="","",IFERROR(1-SUMIF('Nhật ký ca'!$C$6:$C$29,$A9,'Nhật ký ca'!$J$6:$J$29)/(SUMIF('Nhật ký ca'!$C$6:$C$29,$A9,'Nhật ký ca'!$H$6:$H$29)+SUMIF('Nhật ký ca'!$C$6:$C$29,$A9,'Nhật ký ca'!$I$6:$I$29)+SUMIF('Nhật ký ca'!$C$6:$C$29,$A9,'Nhật ký ca'!$J$6:$J$29)),1))</f>
        <v/>
      </c>
      <c r="L9" s="7" t="str">
        <f>IF(OR(J9="",C9=""),"",IF(AND(C9&gt;=$C$15,K9&gt;=$C$16,COUNTIFS('Nhật ký ca'!$C$6:$C$29,$A9,'Nhật ký ca'!$R$6:$R$29,"&gt;1")=0),"Đủ","Chưa đủ"))</f>
        <v/>
      </c>
      <c r="M9" s="7" t="str">
        <f t="shared" si="3"/>
        <v>—</v>
      </c>
      <c r="N9" s="17" t="str">
        <f t="shared" si="4"/>
        <v/>
      </c>
      <c r="O9" s="11" t="str">
        <f>IF(OR($A9="",J9=""),"",IFERROR((C9-SUMIF('Nhật ký ca'!$C$6:$C$29,$A9,'Nhật ký ca'!$H$6:$H$29)-SUMIF('Nhật ký ca'!$C$6:$C$29,$A9,'Nhật ký ca'!$I$6:$I$29))/(C9-SUMIF('Nhật ký ca'!$C$6:$C$29,$A9,'Nhật ký ca'!$H$6:$H$29))*J9,""))</f>
        <v/>
      </c>
    </row>
    <row r="10" spans="1:15" x14ac:dyDescent="0.2">
      <c r="A10" s="13"/>
      <c r="B10" s="7" t="str">
        <f>IF($A10="","",COUNTIF('Nhật ký ca'!$C$6:$C$29,$A10))</f>
        <v/>
      </c>
      <c r="C10" s="14" t="str">
        <f>IF($A10="","",SUMIF('Nhật ký ca'!$C$6:$C$29,$A10,'Nhật ký ca'!$G$6:$G$29))</f>
        <v/>
      </c>
      <c r="D10" s="14" t="str">
        <f>IF($A10="","",SUMIF('Nhật ký ca'!$C$6:$C$29,$A10,'Nhật ký ca'!$P$6:$P$29))</f>
        <v/>
      </c>
      <c r="E10" s="15" t="str">
        <f>IF($A10="","",SUMPRODUCT(('Nhật ký ca'!$C$6:$C$29=$A10)*'Nhật ký ca'!$F$6:$F$29*'Nhật ký ca'!$K$6:$K$29)/60)</f>
        <v/>
      </c>
      <c r="F10" s="8" t="str">
        <f t="shared" si="0"/>
        <v/>
      </c>
      <c r="G10" s="14" t="str">
        <f>IF($A10="","",SUMIF('Nhật ký ca'!$C$6:$C$29,$A10,'Nhật ký ca'!$N$6:$N$29))</f>
        <v/>
      </c>
      <c r="H10" s="14" t="str">
        <f>IF($A10="","",SUMIF('Nhật ký ca'!$C$6:$C$29,$A10,'Nhật ký ca'!$M$6:$M$29))</f>
        <v/>
      </c>
      <c r="I10" s="8" t="str">
        <f t="shared" si="1"/>
        <v/>
      </c>
      <c r="J10" s="9" t="str">
        <f t="shared" si="2"/>
        <v/>
      </c>
      <c r="K10" s="16" t="str">
        <f>IF($A10="","",IFERROR(1-SUMIF('Nhật ký ca'!$C$6:$C$29,$A10,'Nhật ký ca'!$J$6:$J$29)/(SUMIF('Nhật ký ca'!$C$6:$C$29,$A10,'Nhật ký ca'!$H$6:$H$29)+SUMIF('Nhật ký ca'!$C$6:$C$29,$A10,'Nhật ký ca'!$I$6:$I$29)+SUMIF('Nhật ký ca'!$C$6:$C$29,$A10,'Nhật ký ca'!$J$6:$J$29)),1))</f>
        <v/>
      </c>
      <c r="L10" s="7" t="str">
        <f>IF(OR(J10="",C10=""),"",IF(AND(C10&gt;=$C$15,K10&gt;=$C$16,COUNTIFS('Nhật ký ca'!$C$6:$C$29,$A10,'Nhật ký ca'!$R$6:$R$29,"&gt;1")=0),"Đủ","Chưa đủ"))</f>
        <v/>
      </c>
      <c r="M10" s="7" t="str">
        <f t="shared" si="3"/>
        <v>—</v>
      </c>
      <c r="N10" s="17" t="str">
        <f t="shared" si="4"/>
        <v/>
      </c>
      <c r="O10" s="11" t="str">
        <f>IF(OR($A10="",J10=""),"",IFERROR((C10-SUMIF('Nhật ký ca'!$C$6:$C$29,$A10,'Nhật ký ca'!$H$6:$H$29)-SUMIF('Nhật ký ca'!$C$6:$C$29,$A10,'Nhật ký ca'!$I$6:$I$29))/(C10-SUMIF('Nhật ký ca'!$C$6:$C$29,$A10,'Nhật ký ca'!$H$6:$H$29))*J10,""))</f>
        <v/>
      </c>
    </row>
    <row r="14" spans="1:15" ht="16" x14ac:dyDescent="0.2">
      <c r="A14" s="18" t="s">
        <v>55</v>
      </c>
    </row>
    <row r="15" spans="1:15" x14ac:dyDescent="0.2">
      <c r="A15" s="27" t="s">
        <v>56</v>
      </c>
      <c r="B15" s="28"/>
      <c r="C15" s="20">
        <v>1200</v>
      </c>
    </row>
    <row r="16" spans="1:15" x14ac:dyDescent="0.2">
      <c r="A16" s="27" t="s">
        <v>57</v>
      </c>
      <c r="B16" s="28"/>
      <c r="C16" s="21">
        <v>0.9</v>
      </c>
    </row>
    <row r="17" spans="1:3" x14ac:dyDescent="0.2">
      <c r="A17" s="3" t="s">
        <v>58</v>
      </c>
    </row>
    <row r="19" spans="1:3" x14ac:dyDescent="0.2">
      <c r="A19" s="19" t="s">
        <v>59</v>
      </c>
      <c r="B19" s="19" t="s">
        <v>60</v>
      </c>
      <c r="C19" s="19" t="s">
        <v>61</v>
      </c>
    </row>
    <row r="20" spans="1:3" x14ac:dyDescent="0.2">
      <c r="A20" s="22" t="s">
        <v>62</v>
      </c>
      <c r="B20" s="21">
        <v>0.8</v>
      </c>
      <c r="C20" s="23">
        <v>0.5</v>
      </c>
    </row>
    <row r="21" spans="1:3" x14ac:dyDescent="0.2">
      <c r="A21" s="22" t="s">
        <v>63</v>
      </c>
      <c r="B21" s="21">
        <v>0.85</v>
      </c>
      <c r="C21" s="23">
        <v>1</v>
      </c>
    </row>
    <row r="22" spans="1:3" x14ac:dyDescent="0.2">
      <c r="A22" s="22" t="s">
        <v>64</v>
      </c>
      <c r="B22" s="21">
        <v>0.9</v>
      </c>
      <c r="C22" s="23">
        <v>1.5</v>
      </c>
    </row>
    <row r="24" spans="1:3" x14ac:dyDescent="0.2">
      <c r="A24" s="24" t="s">
        <v>65</v>
      </c>
    </row>
  </sheetData>
  <mergeCells count="2">
    <mergeCell ref="A16:B16"/>
    <mergeCell ref="A15:B15"/>
  </mergeCells>
  <pageMargins left="0.75" right="0.75" top="1" bottom="1" header="0.5" footer="0.5"/>
  <pageSetup fitToHeight="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8"/>
  <sheetViews>
    <sheetView showGridLines="0" workbookViewId="0"/>
  </sheetViews>
  <sheetFormatPr baseColWidth="10" defaultColWidth="8.83203125" defaultRowHeight="15" x14ac:dyDescent="0.2"/>
  <cols>
    <col min="1" max="1" width="115" customWidth="1"/>
  </cols>
  <sheetData>
    <row r="1" spans="1:1" ht="17" x14ac:dyDescent="0.2">
      <c r="A1" s="25" t="s">
        <v>66</v>
      </c>
    </row>
    <row r="2" spans="1:1" x14ac:dyDescent="0.2">
      <c r="A2" s="26" t="s">
        <v>67</v>
      </c>
    </row>
    <row r="3" spans="1:1" x14ac:dyDescent="0.2">
      <c r="A3" s="26" t="s">
        <v>68</v>
      </c>
    </row>
    <row r="4" spans="1:1" ht="28" x14ac:dyDescent="0.2">
      <c r="A4" s="26" t="s">
        <v>69</v>
      </c>
    </row>
    <row r="5" spans="1:1" x14ac:dyDescent="0.2">
      <c r="A5" s="26" t="s">
        <v>70</v>
      </c>
    </row>
    <row r="6" spans="1:1" x14ac:dyDescent="0.2">
      <c r="A6" s="26" t="s">
        <v>71</v>
      </c>
    </row>
    <row r="7" spans="1:1" x14ac:dyDescent="0.2">
      <c r="A7" s="26" t="s">
        <v>72</v>
      </c>
    </row>
    <row r="8" spans="1:1" x14ac:dyDescent="0.2">
      <c r="A8" s="26"/>
    </row>
    <row r="9" spans="1:1" ht="17" x14ac:dyDescent="0.2">
      <c r="A9" s="25" t="s">
        <v>73</v>
      </c>
    </row>
    <row r="10" spans="1:1" x14ac:dyDescent="0.2">
      <c r="A10" s="26" t="s">
        <v>74</v>
      </c>
    </row>
    <row r="11" spans="1:1" x14ac:dyDescent="0.2">
      <c r="A11" s="26" t="s">
        <v>75</v>
      </c>
    </row>
    <row r="12" spans="1:1" x14ac:dyDescent="0.2">
      <c r="A12" s="26"/>
    </row>
    <row r="13" spans="1:1" ht="17" x14ac:dyDescent="0.2">
      <c r="A13" s="25" t="s">
        <v>76</v>
      </c>
    </row>
    <row r="14" spans="1:1" ht="28" x14ac:dyDescent="0.2">
      <c r="A14" s="26" t="s">
        <v>77</v>
      </c>
    </row>
    <row r="15" spans="1:1" x14ac:dyDescent="0.2">
      <c r="A15" s="26"/>
    </row>
    <row r="16" spans="1:1" x14ac:dyDescent="0.2">
      <c r="A16" s="26" t="s">
        <v>78</v>
      </c>
    </row>
    <row r="17" spans="1:1" x14ac:dyDescent="0.2">
      <c r="A17" s="26" t="s">
        <v>79</v>
      </c>
    </row>
    <row r="18" spans="1:1" x14ac:dyDescent="0.2">
      <c r="A18" s="26" t="s">
        <v>80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Nhật ký ca</vt:lpstr>
      <vt:lpstr>Tổng hợp theo người</vt:lpstr>
      <vt:lpstr>Hướng dẫn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SAMITECH</dc:creator>
  <cp:lastModifiedBy>SAMITECH</cp:lastModifiedBy>
  <dcterms:created xsi:type="dcterms:W3CDTF">2026-09-25T16:17:53Z</dcterms:created>
  <dcterms:modified xsi:type="dcterms:W3CDTF">2026-09-25T16:17:54Z</dcterms:modified>
</cp:coreProperties>
</file>